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USBAudio" sheetId="1" r:id="rId1"/>
  </sheets>
  <definedNames>
    <definedName name="BoardQty">'USBAudio'!$G$1</definedName>
    <definedName name="digikey_part_data">'USBAudio'!$H$5:$L$28</definedName>
    <definedName name="EUR_GBP">'USBAudio'!$C$31</definedName>
    <definedName name="EUR_USD">'USBAudio'!$C$32</definedName>
    <definedName name="farnell_part_data">'USBAudio'!$M$5:$Q$28</definedName>
    <definedName name="global_part_data">'USBAudio'!$A$5:$G$28</definedName>
    <definedName name="mouser_part_data">'USBAudio'!$R$5:$V$28</definedName>
    <definedName name="newark_part_data">'USBAudio'!$W$5:$AA$28</definedName>
    <definedName name="PURCHASE_DESCRIPTION">'USBAudio'!$G$31</definedName>
    <definedName name="rs_part_data">'USBAudio'!$AB$5:$AF$28</definedName>
    <definedName name="TotalCost">'USBAudio'!$G$3</definedName>
  </definedNames>
  <calcPr calcId="124519" fullCalcOnLoad="1"/>
</workbook>
</file>

<file path=xl/comments1.xml><?xml version="1.0" encoding="utf-8"?>
<comments xmlns="http://schemas.openxmlformats.org/spreadsheetml/2006/main">
  <authors>
    <author/>
  </authors>
  <commentList>
    <comment ref="F3" authorId="0">
      <text>
        <r>
          <rPr>
            <sz val="8"/>
            <color indexed="81"/>
            <rFont val="Tahoma"/>
            <family val="2"/>
          </rPr>
          <t>Use the minimum extend price across distributors not taking account available quantities.</t>
        </r>
      </text>
    </comment>
    <comment ref="L3" authorId="0">
      <text>
        <r>
          <rPr>
            <sz val="8"/>
            <color indexed="81"/>
            <rFont val="Tahoma"/>
            <family val="2"/>
          </rPr>
          <t>Number of parts found at this distributor.</t>
        </r>
      </text>
    </comment>
    <comment ref="Q3" authorId="0">
      <text>
        <r>
          <rPr>
            <sz val="8"/>
            <color indexed="81"/>
            <rFont val="Tahoma"/>
            <family val="2"/>
          </rPr>
          <t>Number of parts found at this distributor.</t>
        </r>
      </text>
    </comment>
    <comment ref="V3" authorId="0">
      <text>
        <r>
          <rPr>
            <sz val="8"/>
            <color indexed="81"/>
            <rFont val="Tahoma"/>
            <family val="2"/>
          </rPr>
          <t>Number of parts found at this distributor.</t>
        </r>
      </text>
    </comment>
    <comment ref="AA3" authorId="0">
      <text>
        <r>
          <rPr>
            <sz val="8"/>
            <color indexed="81"/>
            <rFont val="Tahoma"/>
            <family val="2"/>
          </rPr>
          <t>Number of parts found at this distributor.</t>
        </r>
      </text>
    </comment>
    <comment ref="AF3" authorId="0">
      <text>
        <r>
          <rPr>
            <sz val="8"/>
            <color indexed="81"/>
            <rFont val="Tahoma"/>
            <family val="2"/>
          </rPr>
          <t>Number of parts found at this distributor.</t>
        </r>
      </text>
    </comment>
    <comment ref="A6" authorId="0">
      <text>
        <r>
          <rPr>
            <sz val="8"/>
            <color indexed="81"/>
            <rFont val="Tahoma"/>
            <family val="2"/>
          </rPr>
          <t>Schematic identifier for each part.</t>
        </r>
      </text>
    </comment>
    <comment ref="B6" authorId="0">
      <text>
        <r>
          <rPr>
            <sz val="8"/>
            <color indexed="81"/>
            <rFont val="Tahoma"/>
            <family val="2"/>
          </rPr>
          <t>Value of each part.</t>
        </r>
      </text>
    </comment>
    <comment ref="C6" authorId="0">
      <text>
        <r>
          <rPr>
            <sz val="8"/>
            <color indexed="81"/>
            <rFont val="Tahoma"/>
            <family val="2"/>
          </rPr>
          <t>PCB footprint for each part.</t>
        </r>
      </text>
    </comment>
    <comment ref="D6" authorId="0">
      <text>
        <r>
          <rPr>
            <sz val="8"/>
            <color indexed="81"/>
            <rFont val="Tahoma"/>
            <family val="2"/>
          </rPr>
          <t>Manufacturer number for each part and link to it's datasheet (ctrl-click).
Purple -&gt; Obsolete part detected by one of the distributors.</t>
        </r>
      </text>
    </comment>
    <comment ref="E6" authorId="0">
      <text>
        <r>
          <rPr>
            <sz val="8"/>
            <color indexed="81"/>
            <rFont val="Tahoma"/>
            <family val="2"/>
          </rPr>
          <t>Total number of each part needed.
Gray -&gt; No manf# provided.
Red -&gt; No parts available.
Orange -&gt; Not enough parts available.
Yellow -&gt; Parts available, but haven't purchased enough.</t>
        </r>
      </text>
    </comment>
    <comment ref="F6" authorId="0">
      <text>
        <r>
          <rPr>
            <sz val="8"/>
            <color indexed="81"/>
            <rFont val="Tahoma"/>
            <family val="2"/>
          </rPr>
          <t>Minimum unit price for each part across all distributors.</t>
        </r>
      </text>
    </comment>
    <comment ref="G6" authorId="0">
      <text>
        <r>
          <rPr>
            <sz val="8"/>
            <color indexed="81"/>
            <rFont val="Tahoma"/>
            <family val="2"/>
          </rPr>
          <t>Minimum extended price for each part across all distributors.</t>
        </r>
      </text>
    </comment>
    <comment ref="H6" authorId="0">
      <text>
        <r>
          <rPr>
            <sz val="8"/>
            <color indexed="81"/>
            <rFont val="Tahoma"/>
            <family val="2"/>
          </rPr>
          <t>Available quantity of each part at the distributor.
Red -&gt; No quantity available.
Orange -&gt; Too little quantity available.</t>
        </r>
      </text>
    </comment>
    <comment ref="I6" authorId="0">
      <text>
        <r>
          <rPr>
            <sz val="8"/>
            <color indexed="81"/>
            <rFont val="Tahoma"/>
            <family val="2"/>
          </rPr>
          <t>Purchase quantity of each part from this distributor.
Yellow -&gt; This part have a minimum purchase quantity bigger than 1 (check the price breaks).
Red -&gt; Purchasing more than the available quantity.</t>
        </r>
      </text>
    </comment>
    <comment ref="J6" authorId="0">
      <text>
        <r>
          <rPr>
            <sz val="8"/>
            <color indexed="81"/>
            <rFont val="Tahoma"/>
            <family val="2"/>
          </rPr>
          <t>Unit price of each part from this distributor.
Green -&gt; lowest price across distributors.</t>
        </r>
      </text>
    </comment>
    <comment ref="K6" authorId="0">
      <text>
        <r>
          <rPr>
            <sz val="8"/>
            <color indexed="81"/>
            <rFont val="Tahoma"/>
            <family val="2"/>
          </rPr>
          <t>(Unit Price) x (Purchase Qty) of each part from this distributor.
Red -&gt; Next price break is cheaper.
Green -&gt; Cheapest supplier.</t>
        </r>
      </text>
    </comment>
    <comment ref="L6" authorId="0">
      <text>
        <r>
          <rPr>
            <sz val="8"/>
            <color indexed="81"/>
            <rFont val="Tahoma"/>
            <family val="2"/>
          </rPr>
          <t>Distributor-assigned catalog number for each part and link to it's web page (ctrl-click). Extra distributor data is shown as comment.</t>
        </r>
      </text>
    </comment>
    <comment ref="M6" authorId="0">
      <text>
        <r>
          <rPr>
            <sz val="8"/>
            <color indexed="81"/>
            <rFont val="Tahoma"/>
            <family val="2"/>
          </rPr>
          <t>Available quantity of each part at the distributor.
Red -&gt; No quantity available.
Orange -&gt; Too little quantity available.</t>
        </r>
      </text>
    </comment>
    <comment ref="N6" authorId="0">
      <text>
        <r>
          <rPr>
            <sz val="8"/>
            <color indexed="81"/>
            <rFont val="Tahoma"/>
            <family val="2"/>
          </rPr>
          <t>Purchase quantity of each part from this distributor.
Yellow -&gt; This part have a minimum purchase quantity bigger than 1 (check the price breaks).
Red -&gt; Purchasing more than the available quantity.</t>
        </r>
      </text>
    </comment>
    <comment ref="O6" authorId="0">
      <text>
        <r>
          <rPr>
            <sz val="8"/>
            <color indexed="81"/>
            <rFont val="Tahoma"/>
            <family val="2"/>
          </rPr>
          <t>Unit price of each part from this distributor.
Green -&gt; lowest price across distributors.</t>
        </r>
      </text>
    </comment>
    <comment ref="P6" authorId="0">
      <text>
        <r>
          <rPr>
            <sz val="8"/>
            <color indexed="81"/>
            <rFont val="Tahoma"/>
            <family val="2"/>
          </rPr>
          <t>(Unit Price) x (Purchase Qty) of each part from this distributor.
Red -&gt; Next price break is cheaper.
Green -&gt; Cheapest supplier.</t>
        </r>
      </text>
    </comment>
    <comment ref="Q6" authorId="0">
      <text>
        <r>
          <rPr>
            <sz val="8"/>
            <color indexed="81"/>
            <rFont val="Tahoma"/>
            <family val="2"/>
          </rPr>
          <t>Distributor-assigned catalog number for each part and link to it's web page (ctrl-click). Extra distributor data is shown as comment.</t>
        </r>
      </text>
    </comment>
    <comment ref="R6" authorId="0">
      <text>
        <r>
          <rPr>
            <sz val="8"/>
            <color indexed="81"/>
            <rFont val="Tahoma"/>
            <family val="2"/>
          </rPr>
          <t>Available quantity of each part at the distributor.
Red -&gt; No quantity available.
Orange -&gt; Too little quantity available.</t>
        </r>
      </text>
    </comment>
    <comment ref="S6" authorId="0">
      <text>
        <r>
          <rPr>
            <sz val="8"/>
            <color indexed="81"/>
            <rFont val="Tahoma"/>
            <family val="2"/>
          </rPr>
          <t>Purchase quantity of each part from this distributor.
Yellow -&gt; This part have a minimum purchase quantity bigger than 1 (check the price breaks).
Red -&gt; Purchasing more than the available quantity.</t>
        </r>
      </text>
    </comment>
    <comment ref="T6" authorId="0">
      <text>
        <r>
          <rPr>
            <sz val="8"/>
            <color indexed="81"/>
            <rFont val="Tahoma"/>
            <family val="2"/>
          </rPr>
          <t>Unit price of each part from this distributor.
Green -&gt; lowest price across distributors.</t>
        </r>
      </text>
    </comment>
    <comment ref="U6" authorId="0">
      <text>
        <r>
          <rPr>
            <sz val="8"/>
            <color indexed="81"/>
            <rFont val="Tahoma"/>
            <family val="2"/>
          </rPr>
          <t>(Unit Price) x (Purchase Qty) of each part from this distributor.
Red -&gt; Next price break is cheaper.
Green -&gt; Cheapest supplier.</t>
        </r>
      </text>
    </comment>
    <comment ref="V6" authorId="0">
      <text>
        <r>
          <rPr>
            <sz val="8"/>
            <color indexed="81"/>
            <rFont val="Tahoma"/>
            <family val="2"/>
          </rPr>
          <t>Distributor-assigned catalog number for each part and link to it's web page (ctrl-click). Extra distributor data is shown as comment.</t>
        </r>
      </text>
    </comment>
    <comment ref="W6" authorId="0">
      <text>
        <r>
          <rPr>
            <sz val="8"/>
            <color indexed="81"/>
            <rFont val="Tahoma"/>
            <family val="2"/>
          </rPr>
          <t>Available quantity of each part at the distributor.
Red -&gt; No quantity available.
Orange -&gt; Too little quantity available.</t>
        </r>
      </text>
    </comment>
    <comment ref="X6" authorId="0">
      <text>
        <r>
          <rPr>
            <sz val="8"/>
            <color indexed="81"/>
            <rFont val="Tahoma"/>
            <family val="2"/>
          </rPr>
          <t>Purchase quantity of each part from this distributor.
Yellow -&gt; This part have a minimum purchase quantity bigger than 1 (check the price breaks).
Red -&gt; Purchasing more than the available quantity.</t>
        </r>
      </text>
    </comment>
    <comment ref="Y6" authorId="0">
      <text>
        <r>
          <rPr>
            <sz val="8"/>
            <color indexed="81"/>
            <rFont val="Tahoma"/>
            <family val="2"/>
          </rPr>
          <t>Unit price of each part from this distributor.
Green -&gt; lowest price across distributors.</t>
        </r>
      </text>
    </comment>
    <comment ref="Z6" authorId="0">
      <text>
        <r>
          <rPr>
            <sz val="8"/>
            <color indexed="81"/>
            <rFont val="Tahoma"/>
            <family val="2"/>
          </rPr>
          <t>(Unit Price) x (Purchase Qty) of each part from this distributor.
Red -&gt; Next price break is cheaper.
Green -&gt; Cheapest supplier.</t>
        </r>
      </text>
    </comment>
    <comment ref="AA6" authorId="0">
      <text>
        <r>
          <rPr>
            <sz val="8"/>
            <color indexed="81"/>
            <rFont val="Tahoma"/>
            <family val="2"/>
          </rPr>
          <t>Distributor-assigned catalog number for each part and link to it's web page (ctrl-click). Extra distributor data is shown as comment.</t>
        </r>
      </text>
    </comment>
    <comment ref="AB6" authorId="0">
      <text>
        <r>
          <rPr>
            <sz val="8"/>
            <color indexed="81"/>
            <rFont val="Tahoma"/>
            <family val="2"/>
          </rPr>
          <t>Available quantity of each part at the distributor.
Red -&gt; No quantity available.
Orange -&gt; Too little quantity available.</t>
        </r>
      </text>
    </comment>
    <comment ref="AC6" authorId="0">
      <text>
        <r>
          <rPr>
            <sz val="8"/>
            <color indexed="81"/>
            <rFont val="Tahoma"/>
            <family val="2"/>
          </rPr>
          <t>Purchase quantity of each part from this distributor.
Yellow -&gt; This part have a minimum purchase quantity bigger than 1 (check the price breaks).
Red -&gt; Purchasing more than the available quantity.</t>
        </r>
      </text>
    </comment>
    <comment ref="AD6" authorId="0">
      <text>
        <r>
          <rPr>
            <sz val="8"/>
            <color indexed="81"/>
            <rFont val="Tahoma"/>
            <family val="2"/>
          </rPr>
          <t>Unit price of each part from this distributor.
Green -&gt; lowest price across distributors.</t>
        </r>
      </text>
    </comment>
    <comment ref="AE6" authorId="0">
      <text>
        <r>
          <rPr>
            <sz val="8"/>
            <color indexed="81"/>
            <rFont val="Tahoma"/>
            <family val="2"/>
          </rPr>
          <t>(Unit Price) x (Purchase Qty) of each part from this distributor.
Red -&gt; Next price break is cheaper.
Green -&gt; Cheapest supplier.</t>
        </r>
      </text>
    </comment>
    <comment ref="AF6" authorId="0">
      <text>
        <r>
          <rPr>
            <sz val="8"/>
            <color indexed="81"/>
            <rFont val="Tahoma"/>
            <family val="2"/>
          </rPr>
          <t>Distributor-assigned catalog number for each part and link to it's web page (ctrl-click). Extra distributor data is shown as comment.</t>
        </r>
      </text>
    </comment>
    <comment ref="J8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$0.73      $0.73
    10   $0.54      $5.37
   100   $0.37     $36.82
   500   $0.29    $145.74
  1000   $0.21    $211.23
  2000   $0.20    $396.06
  5000   $0.18    $924.15
 10000   $0.18  $1,795.50</t>
        </r>
      </text>
    </comment>
    <comment ref="T8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$0.72      $0.72
    10   $0.54      $5.36
    50   $0.47     $23.35
   100   $0.36     $36.10
  1000   $0.21    $210.00
 10000   $0.20  $2,010.00</t>
        </r>
      </text>
    </comment>
    <comment ref="W8" authorId="0">
      <text>
        <r>
          <rPr>
            <sz val="8"/>
            <color indexed="81"/>
            <rFont val="Tahoma"/>
            <family val="2"/>
          </rPr>
          <t>This part is listed but is not normally stocked.</t>
        </r>
      </text>
    </comment>
    <comment ref="Y8" authorId="0">
      <text>
        <r>
          <rPr>
            <sz val="8"/>
            <color indexed="81"/>
            <rFont val="Tahoma"/>
            <family val="2"/>
          </rPr>
          <t>Qty/Price Breaks (USD):
  Qty  -  Unit$  -  Ext$
================
  1000   $0.28    $284.00
  5000   $0.28  $1,385.00
 10000   $0.26  $2,560.00
 20000   $0.24  $4,780.00
 30000   $0.22  $6,690.00
 50000   $0.21 $10,650.00</t>
        </r>
      </text>
    </comment>
    <comment ref="AD8" authorId="0">
      <text>
        <r>
          <rPr>
            <sz val="8"/>
            <color indexed="81"/>
            <rFont val="Tahoma"/>
            <family val="2"/>
          </rPr>
          <t>Qty/Price Breaks (GBP):
  Qty  -  Unit£  -  Ext£
================
     1 £171.93    £171.93
     5   £0.58      £2.92
    50   £0.35     £17.60
   250   £0.24     £60.00
   500   £0.20     £99.00
  1000   £0.17    £172.00</t>
        </r>
      </text>
    </comment>
    <comment ref="J9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$0.41      $0.41
    10   $0.29      $2.86
   100   $0.17     $17.18
   500   $0.13     $64.43
  1000   $0.09     $94.62
  2000   $0.09    $179.28
  5000   $0.08    $423.30
 10000   $0.08    $796.80
 25000   $0.07  $1,867.50
 50000   $0.07  $3,486.00
100000   $0.06  $6,474.00</t>
        </r>
      </text>
    </comment>
    <comment ref="R9" authorId="0">
      <text>
        <r>
          <rPr>
            <sz val="8"/>
            <color indexed="81"/>
            <rFont val="Tahoma"/>
            <family val="2"/>
          </rPr>
          <t>This part is listed but is not normally stocked.</t>
        </r>
      </text>
    </comment>
    <comment ref="T9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$0.36      $0.36
    10   $0.25      $2.49
    25   $0.20      $5.12
    50   $0.20     $10.25
   100   $0.15     $15.00
   250   $0.14     $33.75
   500   $0.11     $56.50
  1000   $0.09     $94.00
  2000   $0.09    $178.00
  5000   $0.06    $320.00
 10000   $0.06    $640.00</t>
        </r>
      </text>
    </comment>
    <comment ref="W9" authorId="0">
      <text>
        <r>
          <rPr>
            <sz val="8"/>
            <color indexed="81"/>
            <rFont val="Tahoma"/>
            <family val="2"/>
          </rPr>
          <t>This part is listed but is not normally stocked.</t>
        </r>
      </text>
    </comment>
    <comment ref="Y9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$0.13      $0.13
  2000   $0.13    $260.00
  5000   $0.12    $610.00
 10000   $0.11  $1,070.00
 20000   $0.10  $1,900.00
 30000   $0.09  $2,640.00
 50000   $0.08  $4,000.00</t>
        </r>
      </text>
    </comment>
    <comment ref="AB9" authorId="0">
      <text>
        <r>
          <rPr>
            <sz val="8"/>
            <color indexed="81"/>
            <rFont val="Tahoma"/>
            <family val="2"/>
          </rPr>
          <t>This part is listed but is not normally stocked.</t>
        </r>
      </text>
    </comment>
    <comment ref="AD9" authorId="0">
      <text>
        <r>
          <rPr>
            <sz val="8"/>
            <color indexed="81"/>
            <rFont val="Tahoma"/>
            <family val="2"/>
          </rPr>
          <t>Qty/Price Breaks (GBP):
  Qty  -  Unit£  -  Ext£
================
     1  £68.77     £68.77
    25   £0.16      £3.92
   100   £0.11     £10.80
   250   £0.10     £24.50
   500   £0.09     £44.00
  1000   £0.07     £69.00</t>
        </r>
      </text>
    </comment>
    <comment ref="J10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$0.34      $0.34
    10   $0.24      $2.38
   100   $0.14     $14.28
   500   $0.11     $53.56
  1000   $0.09     $90.46
  2000   $0.07    $149.04
  4000   $0.07    $281.52
 10000   $0.07    $662.40
 14000   $0.06    $898.38
 50000   $0.06  $2,898.00
100000   $0.06  $5,630.00</t>
        </r>
      </text>
    </comment>
    <comment ref="O10" authorId="0">
      <text>
        <r>
          <rPr>
            <sz val="8"/>
            <color indexed="81"/>
            <rFont val="Tahoma"/>
            <family val="2"/>
          </rPr>
          <t>Qty/Price Breaks (GBP):
  Qty  -  Unit£  -  Ext£
================
     5   £0.25      £1.23
    50   £0.13      £6.50
   150   £0.13     £19.50
   250   £0.12     £29.00
   500   £0.09     £43.85
  1000   £0.07     £73.40
  2000   £0.05     £97.00
 10000   £0.05    £452.00</t>
        </r>
      </text>
    </comment>
    <comment ref="T10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$0.34      $0.34
    10   $0.24      $2.38
    50   $0.24     $11.90
   100   $0.11     $10.70
  1000   $0.09     $90.00
  2000   $0.07    $140.00
 10000   $0.06    $640.00
 24000   $0.06  $1,488.00
 50000   $0.06  $2,850.00
100000   $0.06  $5,600.00</t>
        </r>
      </text>
    </comment>
    <comment ref="Y10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$0.08      $0.08
    10   $0.25      $2.50
    25   $0.22      $5.42
    50   $0.18      $9.15
   100   $0.15     $15.00
   250   $0.13     $32.75
   500   $0.11     $56.00
  1000   $0.09     $94.00
  2000   $0.08    $156.00
  4000   $0.08    $308.00
  8000   $0.08    $600.00
 12000   $0.07    $876.00</t>
        </r>
      </text>
    </comment>
    <comment ref="AD10" authorId="0">
      <text>
        <r>
          <rPr>
            <sz val="8"/>
            <color indexed="81"/>
            <rFont val="Tahoma"/>
            <family val="2"/>
          </rPr>
          <t>Qty/Price Breaks (GBP):
  Qty  -  Unit£  -  Ext£
================
     1 £120.35    £120.35
     2 £114.33    £228.66
     4 £108.68    £434.72
     5   £0.27      £1.33
    10 £103.14  £1,031.40
    25   £0.19      £4.75
   375   £0.11     £42.00
  1250   £0.07     £85.00</t>
        </r>
      </text>
    </comment>
    <comment ref="J14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$0.77      $0.77
    10   $0.72      $7.20
    25   $0.65     $16.20
    50   $0.58     $28.80
   100   $0.55     $55.20
   250   $0.50    $126.00
   500   $0.48    $240.00
  1000   $0.40    $396.00
  2500   $0.36    $900.00</t>
        </r>
      </text>
    </comment>
    <comment ref="J15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$0.19      $0.19
    10   $0.18      $1.77
   100   $0.12     $12.27
   500   $0.10     $51.92
  1000   $0.08     $84.96
  5000   $0.08    $377.60
 10000   $0.07    $684.40</t>
        </r>
      </text>
    </comment>
    <comment ref="O15" authorId="0">
      <text>
        <r>
          <rPr>
            <sz val="8"/>
            <color indexed="81"/>
            <rFont val="Tahoma"/>
            <family val="2"/>
          </rPr>
          <t>Qty/Price Breaks (GBP):
  Qty  -  Unit£  -  Ext£
================
   100   £0.10      £9.74
   500   £0.08     £42.35
  1000   £0.07     £68.50</t>
        </r>
      </text>
    </comment>
    <comment ref="T15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$0.18      $0.18
    10   $0.16      $1.62
    50   $0.16      $8.10
   100   $0.14     $13.60
   500   $0.10     $52.50
  1000   $0.09     $88.00
  5000   $0.08    $425.00
 10000   $0.08    $780.00
 25000   $0.07  $1,650.00
 50000   $0.06  $3,050.00</t>
        </r>
      </text>
    </comment>
    <comment ref="Y15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$0.18      $0.18
    10   $0.16      $1.65
    25   $0.16      $3.90
    50   $0.15      $7.40
   100   $0.14     $13.90
   250   $0.12     $30.75
   500   $0.11     $53.50
  1000   $0.09     $90.00</t>
        </r>
      </text>
    </comment>
    <comment ref="AD15" authorId="0">
      <text>
        <r>
          <rPr>
            <sz val="8"/>
            <color indexed="81"/>
            <rFont val="Tahoma"/>
            <family val="2"/>
          </rPr>
          <t>Qty/Price Breaks (GBP):
  Qty  -  Unit£  -  Ext£
================
     5   £0.38      £1.90
   125   £0.15     £18.75
   500   £0.14     £68.00
  2500   £0.12    £310.00
  5000   £0.11    £560.00</t>
        </r>
      </text>
    </comment>
    <comment ref="J16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$1.17      $1.17
    10   $1.02     $10.25
    25   $0.96     $24.12
    50   $0.92     $46.23
   100   $0.88     $88.44
   250   $0.80    $201.00
   500   $0.72    $361.80
  1000   $0.64    $643.20
  2500   $0.58  $1,457.25</t>
        </r>
      </text>
    </comment>
    <comment ref="T16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$1.17      $1.17
    10   $1.03     $10.30
    25   $0.96     $24.12
    50   $0.92     $46.25
   100   $0.88     $88.50
   250   $0.80    $201.00
   500   $0.72    $362.00
  1000   $0.64    $644.00
  2500   $0.58  $1,457.50
 10000   $0.58  $5,830.00</t>
        </r>
      </text>
    </comment>
    <comment ref="J23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$0.70      $0.70
    10   $0.67      $6.70
    25   $0.66     $16.45
    50   $0.63     $31.66
   100   $0.55     $54.63
   250   $0.50    $124.15
   500   $0.47    $235.89
  1000   $0.37    $372.45</t>
        </r>
      </text>
    </comment>
    <comment ref="O23" authorId="0">
      <text>
        <r>
          <rPr>
            <sz val="8"/>
            <color indexed="81"/>
            <rFont val="Tahoma"/>
            <family val="2"/>
          </rPr>
          <t>Qty/Price Breaks (GBP):
  Qty  -  Unit£  -  Ext£
================
     5   £0.54      £2.68
   100   £0.46     £46.00
   250   £0.40     £99.50
  1000   £0.31    £314.00
  2500   £0.31    £770.00</t>
        </r>
      </text>
    </comment>
    <comment ref="T23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$0.67      $0.67
    10   $0.67      $6.70
    25   $0.66     $16.45
    50   $0.63     $31.65
   100   $0.55     $54.60
   200   $0.50     $99.20
   500   $0.47    $235.50
  1000   $0.39    $391.00
 10000   $0.39  $3,910.00</t>
        </r>
      </text>
    </comment>
    <comment ref="Y23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$0.71      $0.71
     5   $0.73      $3.67
    10   $0.70      $7.05
    25   $0.70     $17.47
    50   $0.67     $33.70
   100   $0.59     $58.70
   250   $0.54    $134.25
   500   $0.51    $256.00
  1000   $0.43    $432.00
  1500   $0.43    $648.00</t>
        </r>
      </text>
    </comment>
    <comment ref="AD23" authorId="0">
      <text>
        <r>
          <rPr>
            <sz val="8"/>
            <color indexed="81"/>
            <rFont val="Tahoma"/>
            <family val="2"/>
          </rPr>
          <t>Qty/Price Breaks (GBP):
  Qty  -  Unit£  -  Ext£
================
     5   £0.50      £2.50
   125   £0.40     £49.50
   500   £0.34    £171.00
  1250   £0.27    £337.50</t>
        </r>
      </text>
    </comment>
    <comment ref="J24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$0.70      $0.70
    10   $0.67      $6.70
    25   $0.66     $16.45
    50   $0.63     $31.66
   100   $0.55     $54.63
   250   $0.50    $124.15
   500   $0.47    $235.89
  1000   $0.37    $372.45</t>
        </r>
      </text>
    </comment>
    <comment ref="O24" authorId="0">
      <text>
        <r>
          <rPr>
            <sz val="8"/>
            <color indexed="81"/>
            <rFont val="Tahoma"/>
            <family val="2"/>
          </rPr>
          <t>Qty/Price Breaks (GBP):
  Qty  -  Unit£  -  Ext£
================
     5   £0.54      £2.68
   100   £0.46     £46.00
   250   £0.40     £99.50
  1000   £0.31    £314.00
  2500   £0.31    £770.00</t>
        </r>
      </text>
    </comment>
    <comment ref="T24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$0.67      $0.67
    10   $0.67      $6.70
    25   $0.66     $16.45
    50   $0.63     $31.65
   100   $0.55     $54.60
   200   $0.50     $99.20
   500   $0.47    $235.50
  1000   $0.39    $391.00
 10000   $0.39  $3,910.00</t>
        </r>
      </text>
    </comment>
    <comment ref="Y24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$0.71      $0.71
     5   $0.73      $3.67
    10   $0.70      $7.05
    25   $0.70     $17.47
    50   $0.67     $33.70
   100   $0.59     $58.70
   250   $0.54    $134.25
   500   $0.51    $256.00
  1000   $0.43    $432.00
  1500   $0.43    $648.00</t>
        </r>
      </text>
    </comment>
    <comment ref="AD24" authorId="0">
      <text>
        <r>
          <rPr>
            <sz val="8"/>
            <color indexed="81"/>
            <rFont val="Tahoma"/>
            <family val="2"/>
          </rPr>
          <t>Qty/Price Breaks (GBP):
  Qty  -  Unit£  -  Ext£
================
     5   £0.50      £2.50
   125   £0.40     £49.50
   500   £0.34    £171.00
  1250   £0.27    £337.50</t>
        </r>
      </text>
    </comment>
    <comment ref="J25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$0.70      $0.70
    10   $0.67      $6.70
    25   $0.66     $16.45
    50   $0.63     $31.66
   100   $0.55     $54.63
   250   $0.50    $124.15
   500   $0.47    $235.89
  1000   $0.37    $372.45</t>
        </r>
      </text>
    </comment>
    <comment ref="O25" authorId="0">
      <text>
        <r>
          <rPr>
            <sz val="8"/>
            <color indexed="81"/>
            <rFont val="Tahoma"/>
            <family val="2"/>
          </rPr>
          <t>Qty/Price Breaks (GBP):
  Qty  -  Unit£  -  Ext£
================
     5   £0.54      £2.68
   100   £0.46     £46.00
   250   £0.40     £99.50
  1000   £0.31    £314.00
  2500   £0.31    £770.00</t>
        </r>
      </text>
    </comment>
    <comment ref="T25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$0.67      $0.67
    10   $0.67      $6.70
    25   $0.66     $16.45
    50   $0.63     $31.65
   100   $0.55     $54.60
   200   $0.50     $99.20
   500   $0.47    $235.50
  1000   $0.39    $391.00
 10000   $0.39  $3,910.00</t>
        </r>
      </text>
    </comment>
    <comment ref="Y25" authorId="0">
      <text>
        <r>
          <rPr>
            <sz val="8"/>
            <color indexed="81"/>
            <rFont val="Tahoma"/>
            <family val="2"/>
          </rPr>
          <t>Qty/Price Breaks (USD):
  Qty  -  Unit$  -  Ext$
================
     1   $0.71      $0.71
     5   $0.73      $3.67
    10   $0.70      $7.05
    25   $0.70     $17.47
    50   $0.67     $33.70
   100   $0.59     $58.70
   250   $0.54    $134.25
   500   $0.51    $256.00
  1000   $0.43    $432.00
  1500   $0.43    $648.00</t>
        </r>
      </text>
    </comment>
    <comment ref="AD25" authorId="0">
      <text>
        <r>
          <rPr>
            <sz val="8"/>
            <color indexed="81"/>
            <rFont val="Tahoma"/>
            <family val="2"/>
          </rPr>
          <t>Qty/Price Breaks (GBP):
  Qty  -  Unit£  -  Ext£
================
     5   £0.50      £2.50
   125   £0.40     £49.50
   500   £0.34    £171.00
  1250   £0.27    £337.50</t>
        </r>
      </text>
    </comment>
    <comment ref="F30" authorId="0">
      <text>
        <r>
          <rPr>
            <sz val="8"/>
            <color indexed="81"/>
            <rFont val="Tahoma"/>
            <family val="2"/>
          </rPr>
          <t>This is the total of your cart across all distributors.</t>
        </r>
      </text>
    </comment>
    <comment ref="I30" authorId="0">
      <text>
        <r>
          <rPr>
            <sz val="8"/>
            <color indexed="81"/>
            <rFont val="Tahoma"/>
            <family val="2"/>
          </rPr>
          <t>Copy the information below to the BOM import page of the distributor web site.</t>
        </r>
      </text>
    </comment>
    <comment ref="N30" authorId="0">
      <text>
        <r>
          <rPr>
            <sz val="8"/>
            <color indexed="81"/>
            <rFont val="Tahoma"/>
            <family val="2"/>
          </rPr>
          <t>Copy the information below to the BOM import page of the distributor web site.</t>
        </r>
      </text>
    </comment>
    <comment ref="S30" authorId="0">
      <text>
        <r>
          <rPr>
            <sz val="8"/>
            <color indexed="81"/>
            <rFont val="Tahoma"/>
            <family val="2"/>
          </rPr>
          <t>Copy the information below to the BOM import page of the distributor web site.</t>
        </r>
      </text>
    </comment>
    <comment ref="X30" authorId="0">
      <text>
        <r>
          <rPr>
            <sz val="8"/>
            <color indexed="81"/>
            <rFont val="Tahoma"/>
            <family val="2"/>
          </rPr>
          <t>Copy the information below to the BOM import page of the distributor web site.</t>
        </r>
      </text>
    </comment>
    <comment ref="AC30" authorId="0">
      <text>
        <r>
          <rPr>
            <sz val="8"/>
            <color indexed="81"/>
            <rFont val="Tahoma"/>
            <family val="2"/>
          </rPr>
          <t>Copy the information below to the BOM import page of the distributor web site.</t>
        </r>
      </text>
    </comment>
    <comment ref="F31" authorId="0">
      <text>
        <r>
          <rPr>
            <sz val="8"/>
            <color indexed="81"/>
            <rFont val="Tahoma"/>
            <family val="2"/>
          </rPr>
          <t>This description will be added to all purchased parts label and may be used to distinguish the component of different projects.</t>
        </r>
      </text>
    </comment>
  </commentList>
</comments>
</file>

<file path=xl/sharedStrings.xml><?xml version="1.0" encoding="utf-8"?>
<sst xmlns="http://schemas.openxmlformats.org/spreadsheetml/2006/main" count="208" uniqueCount="122">
  <si>
    <t>Global Part Info</t>
  </si>
  <si>
    <t>Refs</t>
  </si>
  <si>
    <t>Value</t>
  </si>
  <si>
    <t>Footprint</t>
  </si>
  <si>
    <t>Manf#</t>
  </si>
  <si>
    <t>Qty</t>
  </si>
  <si>
    <t>Unit$</t>
  </si>
  <si>
    <t>Ext$</t>
  </si>
  <si>
    <t>C1</t>
  </si>
  <si>
    <t>100nF</t>
  </si>
  <si>
    <t>Capacitor_SMD:C_0603_1608Metric_Pad1.05x0.95mm_HandSolder</t>
  </si>
  <si>
    <t>C11</t>
  </si>
  <si>
    <t>10uF</t>
  </si>
  <si>
    <t>Capacitor_SMD:CP_Elec_6.3x3.9</t>
  </si>
  <si>
    <t>UZG1H100MCL1GB</t>
  </si>
  <si>
    <t>C12,C13</t>
  </si>
  <si>
    <t>100uF</t>
  </si>
  <si>
    <t>Capacitor_SMD:CP_Elec_6.3x5.4</t>
  </si>
  <si>
    <t>UWZ1C101MCL1GB</t>
  </si>
  <si>
    <t>C14,C15</t>
  </si>
  <si>
    <t>1uF</t>
  </si>
  <si>
    <t>Capacitor_SMD:CP_Elec_4x5.4</t>
  </si>
  <si>
    <t>EEEFC1H1R0R</t>
  </si>
  <si>
    <t>C5,C6</t>
  </si>
  <si>
    <t>33pF</t>
  </si>
  <si>
    <t>C7,C10</t>
  </si>
  <si>
    <t>22nF</t>
  </si>
  <si>
    <t>C2-C4,C8,C9</t>
  </si>
  <si>
    <t>J1</t>
  </si>
  <si>
    <t>USB_A</t>
  </si>
  <si>
    <t>Connector_USB:USB_A_CNCTech_1001-011-01101_Horizontal</t>
  </si>
  <si>
    <t>1001-011-01101</t>
  </si>
  <si>
    <t>J2</t>
  </si>
  <si>
    <t>Conn_01x02_Male</t>
  </si>
  <si>
    <t>Connector_Molex:Molex_PicoBlade_53047-0210_1x02_P1.25mm_Vertical</t>
  </si>
  <si>
    <t>53047-0210</t>
  </si>
  <si>
    <t>J3</t>
  </si>
  <si>
    <t>AudioJack2_Ground</t>
  </si>
  <si>
    <t>Connector_Audio:Jack_3.5mm_CUI_SJ1-3533NG_Horizontal</t>
  </si>
  <si>
    <t>SJ1-3533NG</t>
  </si>
  <si>
    <t>R10,R11</t>
  </si>
  <si>
    <t>330R</t>
  </si>
  <si>
    <t>Resistor_SMD:R_0603_1608Metric_Pad1.05x0.95mm_HandSolder</t>
  </si>
  <si>
    <t>R12,R13</t>
  </si>
  <si>
    <t>3K3</t>
  </si>
  <si>
    <t>R4,R5</t>
  </si>
  <si>
    <t>22R</t>
  </si>
  <si>
    <t>R7</t>
  </si>
  <si>
    <t>1M</t>
  </si>
  <si>
    <t>R8,R9</t>
  </si>
  <si>
    <t>16R</t>
  </si>
  <si>
    <t>R1-R3,R6</t>
  </si>
  <si>
    <t>1K5</t>
  </si>
  <si>
    <t>SW1</t>
  </si>
  <si>
    <t>VOLUME+</t>
  </si>
  <si>
    <t>Button_Switch_SMD:SW_SPST_B3S-1000</t>
  </si>
  <si>
    <t>B3S-1000</t>
  </si>
  <si>
    <t>SW2</t>
  </si>
  <si>
    <t>VOLUME-</t>
  </si>
  <si>
    <t>SW3</t>
  </si>
  <si>
    <t>MUTE</t>
  </si>
  <si>
    <t>U1</t>
  </si>
  <si>
    <t>24LC00</t>
  </si>
  <si>
    <t>Package_SO:TSSOP-8_3x3mm_P0.65mm</t>
  </si>
  <si>
    <t>U2</t>
  </si>
  <si>
    <t>PCM2704C</t>
  </si>
  <si>
    <t>Package_SO:SSOP-28_3.9x9.9mm_P0.635mm</t>
  </si>
  <si>
    <t>Y1</t>
  </si>
  <si>
    <t>12MHz</t>
  </si>
  <si>
    <t>Crystal:Crystal_SMD_2016-4Pin_2.0x1.6mm</t>
  </si>
  <si>
    <t>Total Purchase:</t>
  </si>
  <si>
    <t>Purchase description:</t>
  </si>
  <si>
    <t>Used currency rates:</t>
  </si>
  <si>
    <t>EUR(€)/GBP(£):</t>
  </si>
  <si>
    <t>EUR(€)/USD($):</t>
  </si>
  <si>
    <t>Prj:</t>
  </si>
  <si>
    <t>USB Audio</t>
  </si>
  <si>
    <t>Co.:</t>
  </si>
  <si>
    <t>TuX' Design</t>
  </si>
  <si>
    <t>Prj date:</t>
  </si>
  <si>
    <t>26/09/2019 22:32:54</t>
  </si>
  <si>
    <t>Board Qty:</t>
  </si>
  <si>
    <t>Total Cost:</t>
  </si>
  <si>
    <t>Unit Cost:</t>
  </si>
  <si>
    <t>$ date:</t>
  </si>
  <si>
    <t>2019-09-26 22:33:00</t>
  </si>
  <si>
    <t>Digi-Key</t>
  </si>
  <si>
    <t>Avail</t>
  </si>
  <si>
    <t>Purch</t>
  </si>
  <si>
    <t>Cat#</t>
  </si>
  <si>
    <t>493-10069-1-ND</t>
  </si>
  <si>
    <t>493-9993-1-ND</t>
  </si>
  <si>
    <t>PCE4014CT-ND</t>
  </si>
  <si>
    <t>1175-1008-ND</t>
  </si>
  <si>
    <t>WM1731-ND</t>
  </si>
  <si>
    <t>CP1-3533NG-ND</t>
  </si>
  <si>
    <t>SW415-ND</t>
  </si>
  <si>
    <t>Farnell</t>
  </si>
  <si>
    <t>9694528</t>
  </si>
  <si>
    <t>9733051</t>
  </si>
  <si>
    <t>177807</t>
  </si>
  <si>
    <t>Mouser</t>
  </si>
  <si>
    <t>647UZG1H100MCL1GB</t>
  </si>
  <si>
    <t>647UWZ1C101MCL1</t>
  </si>
  <si>
    <t>NonStk</t>
  </si>
  <si>
    <t>667EEEFC1H1R0R</t>
  </si>
  <si>
    <t>538530470210</t>
  </si>
  <si>
    <t>490SJ13533NG</t>
  </si>
  <si>
    <t>653B3S1000</t>
  </si>
  <si>
    <t>Newark</t>
  </si>
  <si>
    <t>58R9039</t>
  </si>
  <si>
    <t>44X4828</t>
  </si>
  <si>
    <t>91K9616</t>
  </si>
  <si>
    <t>26M7498</t>
  </si>
  <si>
    <t>52F3560</t>
  </si>
  <si>
    <t>Rs Components</t>
  </si>
  <si>
    <t>1710708</t>
  </si>
  <si>
    <t>1671270</t>
  </si>
  <si>
    <t>9206888</t>
  </si>
  <si>
    <t>2799213</t>
  </si>
  <si>
    <t>183701</t>
  </si>
  <si>
    <t>KiCost® v.1.1.2</t>
  </si>
</sst>
</file>

<file path=xl/styles.xml><?xml version="1.0" encoding="utf-8"?>
<styleSheet xmlns="http://schemas.openxmlformats.org/spreadsheetml/2006/main">
  <numFmts count="1">
    <numFmt numFmtId="164" formatCode="€#,##0.00"/>
    <numFmt numFmtId="164" formatCode="€#,##0.00"/>
    <numFmt numFmtId="164" formatCode="€#,##0.00"/>
  </numFmts>
  <fonts count="1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13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rgb="FF008000"/>
      <name val="Calibri"/>
      <family val="2"/>
      <scheme val="minor"/>
    </font>
    <font>
      <b/>
      <sz val="13"/>
      <color rgb="FFFF000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90909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303030"/>
        <bgColor indexed="64"/>
      </patternFill>
    </fill>
    <fill>
      <patternFill patternType="solid">
        <fgColor rgb="FFCC00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004A85"/>
        <bgColor indexed="64"/>
      </patternFill>
    </fill>
    <fill>
      <patternFill patternType="solid">
        <fgColor rgb="FFA2AE06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right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7" fillId="4" borderId="0" xfId="0" applyFont="1" applyFill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7" fillId="6" borderId="0" xfId="0" applyFont="1" applyFill="1" applyAlignment="1">
      <alignment horizontal="center" vertical="center"/>
    </xf>
    <xf numFmtId="0" fontId="7" fillId="7" borderId="0" xfId="0" applyFont="1" applyFill="1" applyAlignment="1">
      <alignment horizontal="center" vertical="center"/>
    </xf>
    <xf numFmtId="0" fontId="8" fillId="0" borderId="0" xfId="0" applyFont="1" applyAlignment="1">
      <alignment horizontal="center" vertical="top" wrapText="1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0" fontId="9" fillId="0" borderId="0" xfId="1" applyAlignment="1" applyProtection="1"/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right"/>
    </xf>
  </cellXfs>
  <cellStyles count="2">
    <cellStyle name="Hyperlink" xfId="1" builtinId="8"/>
    <cellStyle name="Normal" xfId="0" builtinId="0"/>
  </cellStyles>
  <dxfs count="5">
    <dxf>
      <fill>
        <patternFill>
          <bgColor rgb="FFAAAAAA"/>
        </patternFill>
      </fill>
    </dxf>
    <dxf>
      <font>
        <color rgb="FFFFFFFF"/>
      </font>
      <fill>
        <patternFill>
          <bgColor rgb="FFFF0000"/>
        </patternFill>
      </fill>
    </dxf>
    <dxf>
      <font>
        <color rgb="FF000000"/>
      </font>
      <fill>
        <patternFill>
          <bgColor rgb="FFFF9900"/>
        </patternFill>
      </fill>
    </dxf>
    <dxf>
      <fill>
        <patternFill>
          <bgColor rgb="FFFFFF00"/>
        </patternFill>
      </fill>
    </dxf>
    <dxf>
      <fill>
        <patternFill>
          <bgColor rgb="FF80FF8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octopart.com/click/track?ai=8078&amp;sig=0622b57&amp;sid=459&amp;ppid=13673380&amp;vpid=74020274&amp;ct=offers" TargetMode="External"/><Relationship Id="rId2" Type="http://schemas.openxmlformats.org/officeDocument/2006/relationships/hyperlink" Target="https://octopart.com/click/track?ai=8078&amp;sig=074ede3&amp;sid=2401&amp;ppid=13673380&amp;vpid=49593681&amp;ct=offers" TargetMode="External"/><Relationship Id="rId3" Type="http://schemas.openxmlformats.org/officeDocument/2006/relationships/hyperlink" Target="https://octopart.com/click/track?c=1&amp;ai=8078&amp;sig=08acd7b&amp;sid=2402&amp;ppid=13673380&amp;vpid=55219289&amp;ct=offers" TargetMode="External"/><Relationship Id="rId4" Type="http://schemas.openxmlformats.org/officeDocument/2006/relationships/hyperlink" Target="https://octopart.com/click/track?c=1&amp;ai=8078&amp;sig=0435901&amp;sid=10022&amp;ppid=13673380&amp;vpid=501194039&amp;ct=offers" TargetMode="External"/><Relationship Id="rId5" Type="http://schemas.openxmlformats.org/officeDocument/2006/relationships/hyperlink" Target="https://octopart.com/click/track?ai=8078&amp;sig=09f74ce&amp;sid=459&amp;ppid=20062016&amp;vpid=73755738&amp;ct=offers" TargetMode="External"/><Relationship Id="rId6" Type="http://schemas.openxmlformats.org/officeDocument/2006/relationships/hyperlink" Target="https://octopart.com/click/track?c=1&amp;ai=8078&amp;sig=0932336&amp;sid=2401&amp;ppid=20062016&amp;vpid=37701847&amp;ct=offers" TargetMode="External"/><Relationship Id="rId7" Type="http://schemas.openxmlformats.org/officeDocument/2006/relationships/hyperlink" Target="https://octopart.com/click/track?c=1&amp;ai=8078&amp;sig=0e6bebb&amp;sid=2402&amp;ppid=20062016&amp;vpid=120922213&amp;ct=offers" TargetMode="External"/><Relationship Id="rId8" Type="http://schemas.openxmlformats.org/officeDocument/2006/relationships/hyperlink" Target="https://octopart.com/click/track?c=1&amp;ai=8078&amp;sig=01bfd10&amp;sid=10022&amp;ppid=20062016&amp;vpid=501193920&amp;ct=offers" TargetMode="External"/><Relationship Id="rId9" Type="http://schemas.openxmlformats.org/officeDocument/2006/relationships/hyperlink" Target="https://octopart.com/click/track?ai=8078&amp;sig=07dd10f&amp;sid=459&amp;ppid=5440591&amp;vpid=114961091&amp;ct=offers" TargetMode="External"/><Relationship Id="rId10" Type="http://schemas.openxmlformats.org/officeDocument/2006/relationships/hyperlink" Target="https://octopart.com/click/track?ai=8078&amp;sig=00d66f9&amp;sid=11744&amp;ppid=5440591&amp;vpid=132560038&amp;ct=offers" TargetMode="External"/><Relationship Id="rId11" Type="http://schemas.openxmlformats.org/officeDocument/2006/relationships/hyperlink" Target="https://octopart.com/click/track?ai=8078&amp;sig=08c3995&amp;sid=2401&amp;ppid=5440591&amp;vpid=116121856&amp;ct=offers" TargetMode="External"/><Relationship Id="rId12" Type="http://schemas.openxmlformats.org/officeDocument/2006/relationships/hyperlink" Target="https://octopart.com/click/track?ai=8078&amp;sig=0bad624&amp;sid=2402&amp;ppid=5440591&amp;vpid=115392788&amp;ct=offers" TargetMode="External"/><Relationship Id="rId13" Type="http://schemas.openxmlformats.org/officeDocument/2006/relationships/hyperlink" Target="https://octopart.com/click/track?c=1&amp;ai=8078&amp;sig=05ff9fc&amp;sid=10022&amp;ppid=5440591&amp;vpid=413831253&amp;ct=offers" TargetMode="External"/><Relationship Id="rId14" Type="http://schemas.openxmlformats.org/officeDocument/2006/relationships/hyperlink" Target="https://octopart.com/click/track?c=1&amp;ai=8078&amp;sig=09aff06&amp;sid=459&amp;ppid=22586069&amp;vpid=48486541&amp;ct=offers" TargetMode="External"/><Relationship Id="rId15" Type="http://schemas.openxmlformats.org/officeDocument/2006/relationships/hyperlink" Target="https://octopart.com/click/track?ai=8078&amp;sig=01a689c&amp;sid=459&amp;ppid=276772&amp;vpid=50127632&amp;ct=offers" TargetMode="External"/><Relationship Id="rId16" Type="http://schemas.openxmlformats.org/officeDocument/2006/relationships/hyperlink" Target="https://octopart.com/click/track?ai=8078&amp;sig=09521a3&amp;sid=819&amp;ppid=276772&amp;vpid=139016501&amp;ct=offers" TargetMode="External"/><Relationship Id="rId17" Type="http://schemas.openxmlformats.org/officeDocument/2006/relationships/hyperlink" Target="https://octopart.com/click/track?ai=8078&amp;sig=092a064&amp;sid=2401&amp;ppid=276772&amp;vpid=37665097&amp;ct=offers" TargetMode="External"/><Relationship Id="rId18" Type="http://schemas.openxmlformats.org/officeDocument/2006/relationships/hyperlink" Target="https://octopart.com/click/track?ai=8078&amp;sig=0f8d307&amp;sid=2402&amp;ppid=276772&amp;vpid=88816479&amp;ct=offers" TargetMode="External"/><Relationship Id="rId19" Type="http://schemas.openxmlformats.org/officeDocument/2006/relationships/hyperlink" Target="https://octopart.com/click/track?ai=8078&amp;sig=064d1b1&amp;sid=10022&amp;ppid=276772&amp;vpid=199069109&amp;ct=offers" TargetMode="External"/><Relationship Id="rId20" Type="http://schemas.openxmlformats.org/officeDocument/2006/relationships/hyperlink" Target="https://octopart.com/click/track?ai=8078&amp;sig=042cdd9&amp;sid=459&amp;ppid=223865&amp;vpid=1287265&amp;ct=offers" TargetMode="External"/><Relationship Id="rId21" Type="http://schemas.openxmlformats.org/officeDocument/2006/relationships/hyperlink" Target="https://octopart.com/click/track?ai=8078&amp;sig=0c258fd&amp;sid=2401&amp;ppid=223865&amp;vpid=192826596&amp;ct=offers" TargetMode="External"/><Relationship Id="rId22" Type="http://schemas.openxmlformats.org/officeDocument/2006/relationships/hyperlink" Target="http://datasheet.octopart.com/B3S-1000-Omron-datasheet-10854676.pdf" TargetMode="External"/><Relationship Id="rId23" Type="http://schemas.openxmlformats.org/officeDocument/2006/relationships/hyperlink" Target="https://octopart.com/click/track?ai=8078&amp;sig=002df61&amp;sid=459&amp;ppid=113964&amp;vpid=188052984&amp;ct=offers" TargetMode="External"/><Relationship Id="rId24" Type="http://schemas.openxmlformats.org/officeDocument/2006/relationships/hyperlink" Target="https://octopart.com/click/track?ai=8078&amp;sig=0ce72ad&amp;sid=819&amp;ppid=113964&amp;vpid=139221807&amp;ct=offers" TargetMode="External"/><Relationship Id="rId25" Type="http://schemas.openxmlformats.org/officeDocument/2006/relationships/hyperlink" Target="https://octopart.com/click/track?ai=8078&amp;sig=0ec3b5d&amp;sid=2401&amp;ppid=113964&amp;vpid=37855248&amp;ct=offers" TargetMode="External"/><Relationship Id="rId26" Type="http://schemas.openxmlformats.org/officeDocument/2006/relationships/hyperlink" Target="https://octopart.com/click/track?ai=8078&amp;sig=067e267&amp;sid=2402&amp;ppid=113964&amp;vpid=2987717&amp;ct=offers" TargetMode="External"/><Relationship Id="rId27" Type="http://schemas.openxmlformats.org/officeDocument/2006/relationships/hyperlink" Target="https://octopart.com/click/track?ai=8078&amp;sig=0e912d7&amp;sid=10022&amp;ppid=113964&amp;vpid=199091719&amp;ct=offers" TargetMode="External"/><Relationship Id="rId28" Type="http://schemas.openxmlformats.org/officeDocument/2006/relationships/hyperlink" Target="http://datasheet.octopart.com/B3S-1000-Omron-datasheet-10854676.pdf" TargetMode="External"/><Relationship Id="rId29" Type="http://schemas.openxmlformats.org/officeDocument/2006/relationships/hyperlink" Target="https://octopart.com/click/track?ai=8078&amp;sig=002df61&amp;sid=459&amp;ppid=113964&amp;vpid=188052984&amp;ct=offers" TargetMode="External"/><Relationship Id="rId30" Type="http://schemas.openxmlformats.org/officeDocument/2006/relationships/hyperlink" Target="https://octopart.com/click/track?ai=8078&amp;sig=0ce72ad&amp;sid=819&amp;ppid=113964&amp;vpid=139221807&amp;ct=offers" TargetMode="External"/><Relationship Id="rId31" Type="http://schemas.openxmlformats.org/officeDocument/2006/relationships/hyperlink" Target="https://octopart.com/click/track?ai=8078&amp;sig=0ec3b5d&amp;sid=2401&amp;ppid=113964&amp;vpid=37855248&amp;ct=offers" TargetMode="External"/><Relationship Id="rId32" Type="http://schemas.openxmlformats.org/officeDocument/2006/relationships/hyperlink" Target="https://octopart.com/click/track?ai=8078&amp;sig=067e267&amp;sid=2402&amp;ppid=113964&amp;vpid=2987717&amp;ct=offers" TargetMode="External"/><Relationship Id="rId33" Type="http://schemas.openxmlformats.org/officeDocument/2006/relationships/hyperlink" Target="https://octopart.com/click/track?ai=8078&amp;sig=0e912d7&amp;sid=10022&amp;ppid=113964&amp;vpid=199091719&amp;ct=offers" TargetMode="External"/><Relationship Id="rId34" Type="http://schemas.openxmlformats.org/officeDocument/2006/relationships/hyperlink" Target="http://datasheet.octopart.com/B3S-1000-Omron-datasheet-10854676.pdf" TargetMode="External"/><Relationship Id="rId35" Type="http://schemas.openxmlformats.org/officeDocument/2006/relationships/hyperlink" Target="https://octopart.com/click/track?ai=8078&amp;sig=002df61&amp;sid=459&amp;ppid=113964&amp;vpid=188052984&amp;ct=offers" TargetMode="External"/><Relationship Id="rId36" Type="http://schemas.openxmlformats.org/officeDocument/2006/relationships/hyperlink" Target="https://octopart.com/click/track?ai=8078&amp;sig=0ce72ad&amp;sid=819&amp;ppid=113964&amp;vpid=139221807&amp;ct=offers" TargetMode="External"/><Relationship Id="rId37" Type="http://schemas.openxmlformats.org/officeDocument/2006/relationships/hyperlink" Target="https://octopart.com/click/track?ai=8078&amp;sig=0ec3b5d&amp;sid=2401&amp;ppid=113964&amp;vpid=37855248&amp;ct=offers" TargetMode="External"/><Relationship Id="rId38" Type="http://schemas.openxmlformats.org/officeDocument/2006/relationships/hyperlink" Target="https://octopart.com/click/track?ai=8078&amp;sig=067e267&amp;sid=2402&amp;ppid=113964&amp;vpid=2987717&amp;ct=offers" TargetMode="External"/><Relationship Id="rId39" Type="http://schemas.openxmlformats.org/officeDocument/2006/relationships/hyperlink" Target="https://octopart.com/click/track?ai=8078&amp;sig=0e912d7&amp;sid=10022&amp;ppid=113964&amp;vpid=199091719&amp;ct=offers" TargetMode="External"/><Relationship Id="rId40" Type="http://schemas.openxmlformats.org/officeDocument/2006/relationships/hyperlink" Target="http://ww1.microchip.com/downloads/en/DeviceDoc/21178G.pdf" TargetMode="External"/><Relationship Id="rId41" Type="http://schemas.openxmlformats.org/officeDocument/2006/relationships/vmlDrawing" Target="../drawings/vmlDrawing1.vml"/><Relationship Id="rId4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2"/>
  <sheetViews>
    <sheetView tabSelected="1" workbookViewId="0">
      <pane xSplit="7" ySplit="6" topLeftCell="H7" activePane="bottomRight" state="frozen"/>
      <selection pane="topRight" activeCell="H1" sqref="H1"/>
      <selection pane="bottomLeft" activeCell="A7" sqref="A7"/>
      <selection pane="bottomRight"/>
    </sheetView>
  </sheetViews>
  <sheetFormatPr defaultRowHeight="15" outlineLevelCol="2"/>
  <cols>
    <col min="1" max="1" width="9.140625"/>
    <col min="2" max="2" width="9.140625"/>
    <col min="3" max="3" width="9.140625" outlineLevel="2"/>
    <col min="4" max="4" width="9.140625" outlineLevel="1"/>
    <col min="5" max="5" width="9.140625" outlineLevel="1"/>
    <col min="6" max="6" width="9.140625"/>
    <col min="7" max="7" width="15.7109375" customWidth="1"/>
    <col min="8" max="8" width="9.140625" outlineLevel="1"/>
    <col min="9" max="9" width="9.140625" outlineLevel="2"/>
    <col min="10" max="10" width="9.140625" outlineLevel="2"/>
    <col min="11" max="11" width="15.7109375" customWidth="1"/>
    <col min="12" max="12" width="15.7109375" customWidth="1" outlineLevel="2"/>
    <col min="13" max="13" width="9.140625" outlineLevel="1"/>
    <col min="14" max="14" width="9.140625" outlineLevel="2"/>
    <col min="15" max="15" width="9.140625" outlineLevel="2"/>
    <col min="16" max="16" width="15.7109375" customWidth="1"/>
    <col min="17" max="17" width="15.7109375" customWidth="1" outlineLevel="2"/>
    <col min="18" max="18" width="9.140625" outlineLevel="1"/>
    <col min="19" max="19" width="9.140625" outlineLevel="2"/>
    <col min="20" max="20" width="9.140625" outlineLevel="2"/>
    <col min="21" max="21" width="15.7109375" customWidth="1"/>
    <col min="22" max="22" width="15.7109375" customWidth="1" outlineLevel="2"/>
    <col min="23" max="23" width="9.140625" outlineLevel="1"/>
    <col min="24" max="24" width="9.140625" outlineLevel="2"/>
    <col min="25" max="25" width="9.140625" outlineLevel="2"/>
    <col min="26" max="26" width="15.7109375" customWidth="1"/>
    <col min="27" max="27" width="15.7109375" customWidth="1" outlineLevel="2"/>
    <col min="28" max="28" width="9.140625" outlineLevel="1"/>
    <col min="29" max="29" width="9.140625" outlineLevel="2"/>
    <col min="30" max="30" width="9.140625" outlineLevel="2"/>
    <col min="31" max="31" width="15.7109375" customWidth="1"/>
    <col min="32" max="32" width="15.7109375" customWidth="1" outlineLevel="2"/>
  </cols>
  <sheetData>
    <row r="1" spans="1:32">
      <c r="A1" s="2" t="s">
        <v>75</v>
      </c>
      <c r="B1" s="3" t="s">
        <v>76</v>
      </c>
      <c r="F1" s="4" t="s">
        <v>81</v>
      </c>
      <c r="G1" s="4">
        <v>100</v>
      </c>
    </row>
    <row r="2" spans="1:32">
      <c r="A2" s="2" t="s">
        <v>77</v>
      </c>
      <c r="B2" s="3" t="s">
        <v>78</v>
      </c>
      <c r="F2" s="2" t="s">
        <v>83</v>
      </c>
      <c r="G2" s="5">
        <f>TotalCost/BoardQty</f>
        <v>0</v>
      </c>
    </row>
    <row r="3" spans="1:32">
      <c r="A3" s="2" t="s">
        <v>79</v>
      </c>
      <c r="B3" s="3" t="s">
        <v>80</v>
      </c>
      <c r="F3" s="2" t="s">
        <v>82</v>
      </c>
      <c r="G3" s="6">
        <f>SUM(G7:G28)</f>
        <v>0</v>
      </c>
      <c r="K3" s="6">
        <f>SUM(K7:K28)</f>
        <v>0</v>
      </c>
      <c r="L3" s="7">
        <f>(COUNTA(K7:K28)&amp;" of "&amp;ROWS(K7:K28)&amp;" parts found"</f>
        <v>0</v>
      </c>
      <c r="P3" s="6">
        <f>SUM(P7:P28)</f>
        <v>0</v>
      </c>
      <c r="Q3" s="7">
        <f>(COUNTA(P7:P28)&amp;" of "&amp;ROWS(P7:P28)&amp;" parts found"</f>
        <v>0</v>
      </c>
      <c r="U3" s="6">
        <f>SUM(U7:U28)</f>
        <v>0</v>
      </c>
      <c r="V3" s="7">
        <f>(COUNTA(U7:U28)&amp;" of "&amp;ROWS(U7:U28)&amp;" parts found"</f>
        <v>0</v>
      </c>
      <c r="Z3" s="6">
        <f>SUM(Z7:Z28)</f>
        <v>0</v>
      </c>
      <c r="AA3" s="7">
        <f>(COUNTA(Z7:Z28)&amp;" of "&amp;ROWS(Z7:Z28)&amp;" parts found"</f>
        <v>0</v>
      </c>
      <c r="AE3" s="6">
        <f>SUM(AE7:AE28)</f>
        <v>0</v>
      </c>
      <c r="AF3" s="7">
        <f>(COUNTA(AE7:AE28)&amp;" of "&amp;ROWS(AE7:AE28)&amp;" parts found"</f>
        <v>0</v>
      </c>
    </row>
    <row r="4" spans="1:32">
      <c r="A4" s="2" t="s">
        <v>84</v>
      </c>
      <c r="B4" s="3" t="s">
        <v>85</v>
      </c>
    </row>
    <row r="5" spans="1:32">
      <c r="A5" s="8" t="s">
        <v>0</v>
      </c>
      <c r="B5" s="8"/>
      <c r="C5" s="8"/>
      <c r="D5" s="8"/>
      <c r="E5" s="8"/>
      <c r="F5" s="8"/>
      <c r="G5" s="8"/>
      <c r="H5" s="9" t="s">
        <v>86</v>
      </c>
      <c r="I5" s="9"/>
      <c r="J5" s="9"/>
      <c r="K5" s="9"/>
      <c r="L5" s="9"/>
      <c r="M5" s="10" t="s">
        <v>97</v>
      </c>
      <c r="N5" s="10"/>
      <c r="O5" s="10"/>
      <c r="P5" s="10"/>
      <c r="Q5" s="10"/>
      <c r="R5" s="11" t="s">
        <v>101</v>
      </c>
      <c r="S5" s="11"/>
      <c r="T5" s="11"/>
      <c r="U5" s="11"/>
      <c r="V5" s="11"/>
      <c r="W5" s="12" t="s">
        <v>109</v>
      </c>
      <c r="X5" s="12"/>
      <c r="Y5" s="12"/>
      <c r="Z5" s="12"/>
      <c r="AA5" s="12"/>
      <c r="AB5" s="13" t="s">
        <v>115</v>
      </c>
      <c r="AC5" s="13"/>
      <c r="AD5" s="13"/>
      <c r="AE5" s="13"/>
      <c r="AF5" s="13"/>
    </row>
    <row r="6" spans="1:32">
      <c r="A6" s="14" t="s">
        <v>1</v>
      </c>
      <c r="B6" s="14" t="s">
        <v>2</v>
      </c>
      <c r="C6" s="14" t="s">
        <v>3</v>
      </c>
      <c r="D6" s="14" t="s">
        <v>4</v>
      </c>
      <c r="E6" s="14" t="s">
        <v>5</v>
      </c>
      <c r="F6" s="14" t="s">
        <v>6</v>
      </c>
      <c r="G6" s="14" t="s">
        <v>7</v>
      </c>
      <c r="H6" s="14" t="s">
        <v>87</v>
      </c>
      <c r="I6" s="14" t="s">
        <v>88</v>
      </c>
      <c r="J6" s="14" t="s">
        <v>6</v>
      </c>
      <c r="K6" s="14" t="s">
        <v>7</v>
      </c>
      <c r="L6" s="14" t="s">
        <v>89</v>
      </c>
      <c r="M6" s="14" t="s">
        <v>87</v>
      </c>
      <c r="N6" s="14" t="s">
        <v>88</v>
      </c>
      <c r="O6" s="14" t="s">
        <v>6</v>
      </c>
      <c r="P6" s="14" t="s">
        <v>7</v>
      </c>
      <c r="Q6" s="14" t="s">
        <v>89</v>
      </c>
      <c r="R6" s="14" t="s">
        <v>87</v>
      </c>
      <c r="S6" s="14" t="s">
        <v>88</v>
      </c>
      <c r="T6" s="14" t="s">
        <v>6</v>
      </c>
      <c r="U6" s="14" t="s">
        <v>7</v>
      </c>
      <c r="V6" s="14" t="s">
        <v>89</v>
      </c>
      <c r="W6" s="14" t="s">
        <v>87</v>
      </c>
      <c r="X6" s="14" t="s">
        <v>88</v>
      </c>
      <c r="Y6" s="14" t="s">
        <v>6</v>
      </c>
      <c r="Z6" s="14" t="s">
        <v>7</v>
      </c>
      <c r="AA6" s="14" t="s">
        <v>89</v>
      </c>
      <c r="AB6" s="14" t="s">
        <v>87</v>
      </c>
      <c r="AC6" s="14" t="s">
        <v>88</v>
      </c>
      <c r="AD6" s="14" t="s">
        <v>6</v>
      </c>
      <c r="AE6" s="14" t="s">
        <v>7</v>
      </c>
      <c r="AF6" s="14" t="s">
        <v>89</v>
      </c>
    </row>
    <row r="7" spans="1:32">
      <c r="A7" s="15" t="s">
        <v>8</v>
      </c>
      <c r="B7" s="15" t="s">
        <v>9</v>
      </c>
      <c r="C7" s="15" t="s">
        <v>10</v>
      </c>
      <c r="E7" s="15">
        <f>BoardQty*1</f>
        <v>0</v>
      </c>
      <c r="F7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7" s="16">
        <f>iferror(E7*F7,"")</f>
        <v>0</v>
      </c>
    </row>
    <row r="8" spans="1:32">
      <c r="A8" s="15" t="s">
        <v>11</v>
      </c>
      <c r="B8" s="15" t="s">
        <v>12</v>
      </c>
      <c r="C8" s="15" t="s">
        <v>13</v>
      </c>
      <c r="D8" s="15" t="s">
        <v>14</v>
      </c>
      <c r="E8" s="15">
        <f>BoardQty*1</f>
        <v>0</v>
      </c>
      <c r="F8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8" s="16">
        <f>iferror(E8*F8,"")</f>
        <v>0</v>
      </c>
      <c r="H8" s="15">
        <v>9651</v>
      </c>
      <c r="J8" s="16">
        <f>iferror(EUR_USD*lookup(if(I8="",E8,I8),{0,1,10,100,500,1000,2000,5000,10000},{0.0,0.73,0.537,0.3682,0.29148,0.21123,0.19803,0.18483,0.17955}),"")</f>
        <v>0</v>
      </c>
      <c r="K8" s="16">
        <f>iferror(if(I8="",E8,I8)*J8,"")</f>
        <v>0</v>
      </c>
      <c r="L8" s="17" t="s">
        <v>90</v>
      </c>
      <c r="R8" s="15">
        <v>363</v>
      </c>
      <c r="T8" s="16">
        <f>iferror(EUR_USD*lookup(if(S8="",E8,S8),{0,1,10,50,100,1000,10000},{0.0,0.72,0.536,0.467,0.361,0.21,0.201}),"")</f>
        <v>0</v>
      </c>
      <c r="U8" s="16">
        <f>iferror(if(S8="",E8,S8)*T8,"")</f>
        <v>0</v>
      </c>
      <c r="V8" s="17" t="s">
        <v>102</v>
      </c>
      <c r="W8" s="18" t="s">
        <v>104</v>
      </c>
      <c r="Y8" s="16">
        <f>iferror(EUR_USD*lookup(if(X8="",E8,X8),{0,1,1000,5000,10000,20000,30000,50000},{0.0,0.284,0.284,0.277,0.256,0.239,0.223,0.213}),"")</f>
        <v>0</v>
      </c>
      <c r="Z8" s="16">
        <f>iferror(if(X8="",E8,X8)*Y8,"")</f>
        <v>0</v>
      </c>
      <c r="AA8" s="17" t="s">
        <v>110</v>
      </c>
      <c r="AB8" s="15">
        <v>3180</v>
      </c>
      <c r="AD8" s="16">
        <f>iferror(EUR_GBP*lookup(if(AC8="",E8,AC8),{0,1,5,50,250,500,1000},{0.0,171.93,0.584,0.352,0.24,0.198,0.172}),"")</f>
        <v>0</v>
      </c>
      <c r="AE8" s="16">
        <f>iferror(if(AC8="",E8,AC8)*AD8,"")</f>
        <v>0</v>
      </c>
      <c r="AF8" s="17" t="s">
        <v>116</v>
      </c>
    </row>
    <row r="9" spans="1:32">
      <c r="A9" s="15" t="s">
        <v>15</v>
      </c>
      <c r="B9" s="15" t="s">
        <v>16</v>
      </c>
      <c r="C9" s="15" t="s">
        <v>17</v>
      </c>
      <c r="D9" s="15" t="s">
        <v>18</v>
      </c>
      <c r="E9" s="15">
        <f>BoardQty*2</f>
        <v>0</v>
      </c>
      <c r="F9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9" s="16">
        <f>iferror(E9*F9,"")</f>
        <v>0</v>
      </c>
      <c r="H9" s="15">
        <v>8443</v>
      </c>
      <c r="J9" s="16">
        <f>iferror(EUR_USD*lookup(if(I9="",E9,I9),{0,1,10,100,500,1000,2000,5000,10000,25000,50000,100000},{0.0,0.41,0.286,0.1718,0.12886,0.09462,0.08964,0.08466,0.07968,0.0747,0.06972,0.06474}),"")</f>
        <v>0</v>
      </c>
      <c r="K9" s="16">
        <f>iferror(if(I9="",E9,I9)*J9,"")</f>
        <v>0</v>
      </c>
      <c r="L9" s="17" t="s">
        <v>91</v>
      </c>
      <c r="R9" s="18" t="s">
        <v>104</v>
      </c>
      <c r="T9" s="16">
        <f>iferror(EUR_USD*lookup(if(S9="",E9,S9),{0,1,10,25,50,100,250,500,1000,2000,5000,10000},{0.0,0.36,0.249,0.205,0.205,0.15,0.135,0.113,0.094,0.089,0.064,0.064}),"")</f>
        <v>0</v>
      </c>
      <c r="U9" s="16">
        <f>iferror(if(S9="",E9,S9)*T9,"")</f>
        <v>0</v>
      </c>
      <c r="V9" s="17" t="s">
        <v>103</v>
      </c>
      <c r="W9" s="18" t="s">
        <v>104</v>
      </c>
      <c r="Y9" s="16">
        <f>iferror(EUR_USD*lookup(if(X9="",E9,X9),{0,1,2000,5000,10000,20000,30000,50000},{0.0,0.13,0.13,0.122,0.107,0.095,0.088,0.08}),"")</f>
        <v>0</v>
      </c>
      <c r="Z9" s="16">
        <f>iferror(if(X9="",E9,X9)*Y9,"")</f>
        <v>0</v>
      </c>
      <c r="AA9" s="17" t="s">
        <v>111</v>
      </c>
      <c r="AB9" s="18" t="s">
        <v>104</v>
      </c>
      <c r="AD9" s="16">
        <f>iferror(EUR_GBP*lookup(if(AC9="",E9,AC9),{0,1,25,100,250,500,1000},{0.0,68.77,0.157,0.108,0.098,0.088,0.069}),"")</f>
        <v>0</v>
      </c>
      <c r="AE9" s="16">
        <f>iferror(if(AC9="",E9,AC9)*AD9,"")</f>
        <v>0</v>
      </c>
      <c r="AF9" s="17" t="s">
        <v>117</v>
      </c>
    </row>
    <row r="10" spans="1:32">
      <c r="A10" s="15" t="s">
        <v>19</v>
      </c>
      <c r="B10" s="15" t="s">
        <v>20</v>
      </c>
      <c r="C10" s="15" t="s">
        <v>21</v>
      </c>
      <c r="D10" s="15" t="s">
        <v>22</v>
      </c>
      <c r="E10" s="15">
        <f>BoardQty*2</f>
        <v>0</v>
      </c>
      <c r="F10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10" s="16">
        <f>iferror(E10*F10,"")</f>
        <v>0</v>
      </c>
      <c r="H10" s="15">
        <v>31760</v>
      </c>
      <c r="J10" s="16">
        <f>iferror(EUR_USD*lookup(if(I10="",E10,I10),{0,1,10,100,500,1000,2000,4000,10000,14000,50000,100000},{0.0,0.34,0.238,0.1428,0.10712,0.09046,0.07452,0.07038,0.06624,0.06417,0.05796,0.0563}),"")</f>
        <v>0</v>
      </c>
      <c r="K10" s="16">
        <f>iferror(if(I10="",E10,I10)*J10,"")</f>
        <v>0</v>
      </c>
      <c r="L10" s="17" t="s">
        <v>92</v>
      </c>
      <c r="M10" s="15">
        <v>12000</v>
      </c>
      <c r="O10" s="16">
        <f>iferror(EUR_GBP*lookup(if(N10="",E10,N10),{0,1,5,50,150,250,500,1000,2000,10000},{0.0,0.246,0.246,0.13,0.13,0.116,0.0877,0.0734,0.0485,0.0452}),"")</f>
        <v>0</v>
      </c>
      <c r="P10" s="16">
        <f>iferror(if(N10="",E10,N10)*O10,"")</f>
        <v>0</v>
      </c>
      <c r="Q10" s="17" t="s">
        <v>98</v>
      </c>
      <c r="R10" s="15">
        <v>7136</v>
      </c>
      <c r="T10" s="16">
        <f>iferror(EUR_USD*lookup(if(S10="",E10,S10),{0,1,10,50,100,1000,2000,10000,24000,50000,100000},{0.0,0.34,0.238,0.238,0.107,0.09,0.07,0.064,0.062,0.057,0.056}),"")</f>
        <v>0</v>
      </c>
      <c r="U10" s="16">
        <f>iferror(if(S10="",E10,S10)*T10,"")</f>
        <v>0</v>
      </c>
      <c r="V10" s="17" t="s">
        <v>105</v>
      </c>
      <c r="W10" s="15">
        <v>323</v>
      </c>
      <c r="Y10" s="16">
        <f>iferror(EUR_USD*lookup(if(X10="",E10,X10),{0,1,10,25,50,100,250,500,1000,2000,4000,8000,12000},{0.0,0.08,0.25,0.217,0.183,0.15,0.131,0.112,0.094,0.078,0.077,0.075,0.073}),"")</f>
        <v>0</v>
      </c>
      <c r="Z10" s="16">
        <f>iferror(if(X10="",E10,X10)*Y10,"")</f>
        <v>0</v>
      </c>
      <c r="AA10" s="17" t="s">
        <v>112</v>
      </c>
      <c r="AB10" s="15">
        <v>3015</v>
      </c>
      <c r="AD10" s="16">
        <f>iferror(EUR_GBP*lookup(if(AC10="",E10,AC10),{0,1,2,4,5,10,25,375,1250},{0.0,120.35,114.33,108.68,0.266,103.14,0.19,0.112,0.068}),"")</f>
        <v>0</v>
      </c>
      <c r="AE10" s="16">
        <f>iferror(if(AC10="",E10,AC10)*AD10,"")</f>
        <v>0</v>
      </c>
      <c r="AF10" s="17" t="s">
        <v>118</v>
      </c>
    </row>
    <row r="11" spans="1:32">
      <c r="A11" s="15" t="s">
        <v>23</v>
      </c>
      <c r="B11" s="15" t="s">
        <v>24</v>
      </c>
      <c r="C11" s="15" t="s">
        <v>10</v>
      </c>
      <c r="E11" s="15">
        <f>BoardQty*2</f>
        <v>0</v>
      </c>
      <c r="F11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11" s="16">
        <f>iferror(E11*F11,"")</f>
        <v>0</v>
      </c>
    </row>
    <row r="12" spans="1:32">
      <c r="A12" s="15" t="s">
        <v>25</v>
      </c>
      <c r="B12" s="15" t="s">
        <v>26</v>
      </c>
      <c r="C12" s="15" t="s">
        <v>10</v>
      </c>
      <c r="E12" s="15">
        <f>BoardQty*2</f>
        <v>0</v>
      </c>
      <c r="F12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12" s="16">
        <f>iferror(E12*F12,"")</f>
        <v>0</v>
      </c>
    </row>
    <row r="13" spans="1:32">
      <c r="A13" s="15" t="s">
        <v>27</v>
      </c>
      <c r="B13" s="15" t="s">
        <v>20</v>
      </c>
      <c r="C13" s="15" t="s">
        <v>10</v>
      </c>
      <c r="E13" s="15">
        <f>BoardQty*5</f>
        <v>0</v>
      </c>
      <c r="F13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13" s="16">
        <f>iferror(E13*F13,"")</f>
        <v>0</v>
      </c>
    </row>
    <row r="14" spans="1:32">
      <c r="A14" s="15" t="s">
        <v>28</v>
      </c>
      <c r="B14" s="15" t="s">
        <v>29</v>
      </c>
      <c r="C14" s="15" t="s">
        <v>30</v>
      </c>
      <c r="D14" s="15" t="s">
        <v>31</v>
      </c>
      <c r="E14" s="15">
        <f>BoardQty*1</f>
        <v>0</v>
      </c>
      <c r="F14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14" s="16">
        <f>iferror(E14*F14,"")</f>
        <v>0</v>
      </c>
      <c r="H14" s="15">
        <v>44984</v>
      </c>
      <c r="J14" s="16">
        <f>iferror(EUR_USD*lookup(if(I14="",E14,I14),{0,1,10,25,50,100,250,500,1000,2500},{0.0,0.77,0.72,0.648,0.576,0.552,0.504,0.48,0.396,0.36}),"")</f>
        <v>0</v>
      </c>
      <c r="K14" s="16">
        <f>iferror(if(I14="",E14,I14)*J14,"")</f>
        <v>0</v>
      </c>
      <c r="L14" s="17" t="s">
        <v>93</v>
      </c>
    </row>
    <row r="15" spans="1:32">
      <c r="A15" s="15" t="s">
        <v>32</v>
      </c>
      <c r="B15" s="15" t="s">
        <v>33</v>
      </c>
      <c r="C15" s="15" t="s">
        <v>34</v>
      </c>
      <c r="D15" s="15" t="s">
        <v>35</v>
      </c>
      <c r="E15" s="15">
        <f>BoardQty*1</f>
        <v>0</v>
      </c>
      <c r="F15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15" s="16">
        <f>iferror(E15*F15,"")</f>
        <v>0</v>
      </c>
      <c r="H15" s="15">
        <v>117977</v>
      </c>
      <c r="J15" s="16">
        <f>iferror(EUR_USD*lookup(if(I15="",E15,I15),{0,1,10,100,500,1000,5000,10000},{0.0,0.19,0.177,0.1227,0.10384,0.08496,0.07552,0.06844}),"")</f>
        <v>0</v>
      </c>
      <c r="K15" s="16">
        <f>iferror(if(I15="",E15,I15)*J15,"")</f>
        <v>0</v>
      </c>
      <c r="L15" s="17" t="s">
        <v>94</v>
      </c>
      <c r="M15" s="15">
        <v>27734</v>
      </c>
      <c r="O15" s="16">
        <f>iferror(EUR_GBP*lookup(if(N15="",E15,N15),{0,1,100,500,1000},{0.0,0.0974,0.0974,0.0847,0.0685}),"")</f>
        <v>0</v>
      </c>
      <c r="P15" s="16">
        <f>iferror(if(N15="",E15,N15)*O15,"")</f>
        <v>0</v>
      </c>
      <c r="Q15" s="17" t="s">
        <v>99</v>
      </c>
      <c r="R15" s="15">
        <v>70137</v>
      </c>
      <c r="T15" s="16">
        <f>iferror(EUR_USD*lookup(if(S15="",E15,S15),{0,1,10,50,100,500,1000,5000,10000,25000,50000},{0.0,0.18,0.162,0.162,0.136,0.105,0.088,0.085,0.078,0.066,0.061}),"")</f>
        <v>0</v>
      </c>
      <c r="U15" s="16">
        <f>iferror(if(S15="",E15,S15)*T15,"")</f>
        <v>0</v>
      </c>
      <c r="V15" s="17" t="s">
        <v>106</v>
      </c>
      <c r="W15" s="15">
        <v>16913</v>
      </c>
      <c r="Y15" s="16">
        <f>iferror(EUR_USD*lookup(if(X15="",E15,X15),{0,1,10,25,50,100,250,500,1000},{0.0,0.184,0.165,0.156,0.148,0.139,0.123,0.107,0.09}),"")</f>
        <v>0</v>
      </c>
      <c r="Z15" s="16">
        <f>iferror(if(X15="",E15,X15)*Y15,"")</f>
        <v>0</v>
      </c>
      <c r="AA15" s="17" t="s">
        <v>113</v>
      </c>
      <c r="AB15" s="15">
        <v>14145</v>
      </c>
      <c r="AD15" s="16">
        <f>iferror(EUR_GBP*lookup(if(AC15="",E15,AC15),{0,1,5,125,500,2500,5000},{0.0,0.38,0.38,0.15,0.136,0.124,0.112}),"")</f>
        <v>0</v>
      </c>
      <c r="AE15" s="16">
        <f>iferror(if(AC15="",E15,AC15)*AD15,"")</f>
        <v>0</v>
      </c>
      <c r="AF15" s="17" t="s">
        <v>119</v>
      </c>
    </row>
    <row r="16" spans="1:32">
      <c r="A16" s="15" t="s">
        <v>36</v>
      </c>
      <c r="B16" s="15" t="s">
        <v>37</v>
      </c>
      <c r="C16" s="15" t="s">
        <v>38</v>
      </c>
      <c r="D16" s="15" t="s">
        <v>39</v>
      </c>
      <c r="E16" s="15">
        <f>BoardQty*1</f>
        <v>0</v>
      </c>
      <c r="F16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16" s="16">
        <f>iferror(E16*F16,"")</f>
        <v>0</v>
      </c>
      <c r="H16" s="15">
        <v>80008</v>
      </c>
      <c r="J16" s="16">
        <f>iferror(EUR_USD*lookup(if(I16="",E16,I16),{0,1,10,25,50,100,250,500,1000,2500},{0.0,1.17,1.025,0.9648,0.9246,0.8844,0.804,0.7236,0.6432,0.5829}),"")</f>
        <v>0</v>
      </c>
      <c r="K16" s="16">
        <f>iferror(if(I16="",E16,I16)*J16,"")</f>
        <v>0</v>
      </c>
      <c r="L16" s="17" t="s">
        <v>95</v>
      </c>
      <c r="R16" s="15">
        <v>16582</v>
      </c>
      <c r="T16" s="16">
        <f>iferror(EUR_USD*lookup(if(S16="",E16,S16),{0,1,10,25,50,100,250,500,1000,2500,10000},{0.0,1.17,1.03,0.965,0.925,0.885,0.804,0.724,0.644,0.583,0.583}),"")</f>
        <v>0</v>
      </c>
      <c r="U16" s="16">
        <f>iferror(if(S16="",E16,S16)*T16,"")</f>
        <v>0</v>
      </c>
      <c r="V16" s="17" t="s">
        <v>107</v>
      </c>
    </row>
    <row r="17" spans="1:32">
      <c r="A17" s="15" t="s">
        <v>40</v>
      </c>
      <c r="B17" s="15" t="s">
        <v>41</v>
      </c>
      <c r="C17" s="15" t="s">
        <v>42</v>
      </c>
      <c r="E17" s="15">
        <f>BoardQty*2</f>
        <v>0</v>
      </c>
      <c r="F17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17" s="16">
        <f>iferror(E17*F17,"")</f>
        <v>0</v>
      </c>
    </row>
    <row r="18" spans="1:32">
      <c r="A18" s="15" t="s">
        <v>43</v>
      </c>
      <c r="B18" s="15" t="s">
        <v>44</v>
      </c>
      <c r="C18" s="15" t="s">
        <v>42</v>
      </c>
      <c r="E18" s="15">
        <f>BoardQty*2</f>
        <v>0</v>
      </c>
      <c r="F18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18" s="16">
        <f>iferror(E18*F18,"")</f>
        <v>0</v>
      </c>
    </row>
    <row r="19" spans="1:32">
      <c r="A19" s="15" t="s">
        <v>45</v>
      </c>
      <c r="B19" s="15" t="s">
        <v>46</v>
      </c>
      <c r="C19" s="15" t="s">
        <v>42</v>
      </c>
      <c r="E19" s="15">
        <f>BoardQty*2</f>
        <v>0</v>
      </c>
      <c r="F19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19" s="16">
        <f>iferror(E19*F19,"")</f>
        <v>0</v>
      </c>
    </row>
    <row r="20" spans="1:32">
      <c r="A20" s="15" t="s">
        <v>47</v>
      </c>
      <c r="B20" s="15" t="s">
        <v>48</v>
      </c>
      <c r="C20" s="15" t="s">
        <v>42</v>
      </c>
      <c r="E20" s="15">
        <f>BoardQty*1</f>
        <v>0</v>
      </c>
      <c r="F20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20" s="16">
        <f>iferror(E20*F20,"")</f>
        <v>0</v>
      </c>
    </row>
    <row r="21" spans="1:32">
      <c r="A21" s="15" t="s">
        <v>49</v>
      </c>
      <c r="B21" s="15" t="s">
        <v>50</v>
      </c>
      <c r="C21" s="15" t="s">
        <v>42</v>
      </c>
      <c r="E21" s="15">
        <f>BoardQty*2</f>
        <v>0</v>
      </c>
      <c r="F21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21" s="16">
        <f>iferror(E21*F21,"")</f>
        <v>0</v>
      </c>
    </row>
    <row r="22" spans="1:32">
      <c r="A22" s="15" t="s">
        <v>51</v>
      </c>
      <c r="B22" s="15" t="s">
        <v>52</v>
      </c>
      <c r="C22" s="15" t="s">
        <v>42</v>
      </c>
      <c r="E22" s="15">
        <f>BoardQty*4</f>
        <v>0</v>
      </c>
      <c r="F22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22" s="16">
        <f>iferror(E22*F22,"")</f>
        <v>0</v>
      </c>
    </row>
    <row r="23" spans="1:32">
      <c r="A23" s="15" t="s">
        <v>53</v>
      </c>
      <c r="B23" s="15" t="s">
        <v>54</v>
      </c>
      <c r="C23" s="15" t="s">
        <v>55</v>
      </c>
      <c r="D23" s="15" t="s">
        <v>56</v>
      </c>
      <c r="E23" s="15">
        <f>BoardQty*1</f>
        <v>0</v>
      </c>
      <c r="F23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23" s="16">
        <f>iferror(E23*F23,"")</f>
        <v>0</v>
      </c>
      <c r="H23" s="15">
        <v>26119</v>
      </c>
      <c r="J23" s="16">
        <f>iferror(EUR_USD*lookup(if(I23="",E23,I23),{0,1,10,25,50,100,250,500,1000},{0.0,0.7,0.67,0.658,0.6332,0.5463,0.4966,0.47178,0.37245}),"")</f>
        <v>0</v>
      </c>
      <c r="K23" s="16">
        <f>iferror(if(I23="",E23,I23)*J23,"")</f>
        <v>0</v>
      </c>
      <c r="L23" s="17" t="s">
        <v>96</v>
      </c>
      <c r="M23" s="15">
        <v>15316</v>
      </c>
      <c r="O23" s="16">
        <f>iferror(EUR_GBP*lookup(if(N23="",E23,N23),{0,1,5,100,250,1000,2500},{0.0,0.535,0.535,0.46,0.398,0.314,0.308}),"")</f>
        <v>0</v>
      </c>
      <c r="P23" s="16">
        <f>iferror(if(N23="",E23,N23)*O23,"")</f>
        <v>0</v>
      </c>
      <c r="Q23" s="17" t="s">
        <v>100</v>
      </c>
      <c r="R23" s="15">
        <v>8202</v>
      </c>
      <c r="T23" s="16">
        <f>iferror(EUR_USD*lookup(if(S23="",E23,S23),{0,1,10,25,50,100,200,500,1000,10000},{0.0,0.67,0.67,0.658,0.633,0.546,0.496,0.471,0.391,0.391}),"")</f>
        <v>0</v>
      </c>
      <c r="U23" s="16">
        <f>iferror(if(S23="",E23,S23)*T23,"")</f>
        <v>0</v>
      </c>
      <c r="V23" s="17" t="s">
        <v>108</v>
      </c>
      <c r="W23" s="15">
        <v>15379</v>
      </c>
      <c r="Y23" s="16">
        <f>iferror(EUR_USD*lookup(if(X23="",E23,X23),{0,1,5,10,25,50,100,250,500,1000,1500},{0.0,0.711,0.734,0.705,0.699,0.674,0.587,0.537,0.512,0.432,0.432}),"")</f>
        <v>0</v>
      </c>
      <c r="Z23" s="16">
        <f>iferror(if(X23="",E23,X23)*Y23,"")</f>
        <v>0</v>
      </c>
      <c r="AA23" s="17" t="s">
        <v>114</v>
      </c>
      <c r="AB23" s="15">
        <v>1395</v>
      </c>
      <c r="AD23" s="16">
        <f>iferror(EUR_GBP*lookup(if(AC23="",E23,AC23),{0,1,5,125,500,1250},{0.0,0.5,0.5,0.396,0.342,0.27}),"")</f>
        <v>0</v>
      </c>
      <c r="AE23" s="16">
        <f>iferror(if(AC23="",E23,AC23)*AD23,"")</f>
        <v>0</v>
      </c>
      <c r="AF23" s="17" t="s">
        <v>120</v>
      </c>
    </row>
    <row r="24" spans="1:32">
      <c r="A24" s="15" t="s">
        <v>57</v>
      </c>
      <c r="B24" s="15" t="s">
        <v>58</v>
      </c>
      <c r="C24" s="15" t="s">
        <v>55</v>
      </c>
      <c r="D24" s="15" t="s">
        <v>56</v>
      </c>
      <c r="E24" s="15">
        <f>BoardQty*1</f>
        <v>0</v>
      </c>
      <c r="F24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24" s="16">
        <f>iferror(E24*F24,"")</f>
        <v>0</v>
      </c>
      <c r="H24" s="15">
        <v>26119</v>
      </c>
      <c r="J24" s="16">
        <f>iferror(EUR_USD*lookup(if(I24="",E24,I24),{0,1,10,25,50,100,250,500,1000},{0.0,0.7,0.67,0.658,0.6332,0.5463,0.4966,0.47178,0.37245}),"")</f>
        <v>0</v>
      </c>
      <c r="K24" s="16">
        <f>iferror(if(I24="",E24,I24)*J24,"")</f>
        <v>0</v>
      </c>
      <c r="L24" s="17" t="s">
        <v>96</v>
      </c>
      <c r="M24" s="15">
        <v>15316</v>
      </c>
      <c r="O24" s="16">
        <f>iferror(EUR_GBP*lookup(if(N24="",E24,N24),{0,1,5,100,250,1000,2500},{0.0,0.535,0.535,0.46,0.398,0.314,0.308}),"")</f>
        <v>0</v>
      </c>
      <c r="P24" s="16">
        <f>iferror(if(N24="",E24,N24)*O24,"")</f>
        <v>0</v>
      </c>
      <c r="Q24" s="17" t="s">
        <v>100</v>
      </c>
      <c r="R24" s="15">
        <v>8202</v>
      </c>
      <c r="T24" s="16">
        <f>iferror(EUR_USD*lookup(if(S24="",E24,S24),{0,1,10,25,50,100,200,500,1000,10000},{0.0,0.67,0.67,0.658,0.633,0.546,0.496,0.471,0.391,0.391}),"")</f>
        <v>0</v>
      </c>
      <c r="U24" s="16">
        <f>iferror(if(S24="",E24,S24)*T24,"")</f>
        <v>0</v>
      </c>
      <c r="V24" s="17" t="s">
        <v>108</v>
      </c>
      <c r="W24" s="15">
        <v>15379</v>
      </c>
      <c r="Y24" s="16">
        <f>iferror(EUR_USD*lookup(if(X24="",E24,X24),{0,1,5,10,25,50,100,250,500,1000,1500},{0.0,0.711,0.734,0.705,0.699,0.674,0.587,0.537,0.512,0.432,0.432}),"")</f>
        <v>0</v>
      </c>
      <c r="Z24" s="16">
        <f>iferror(if(X24="",E24,X24)*Y24,"")</f>
        <v>0</v>
      </c>
      <c r="AA24" s="17" t="s">
        <v>114</v>
      </c>
      <c r="AB24" s="15">
        <v>1395</v>
      </c>
      <c r="AD24" s="16">
        <f>iferror(EUR_GBP*lookup(if(AC24="",E24,AC24),{0,1,5,125,500,1250},{0.0,0.5,0.5,0.396,0.342,0.27}),"")</f>
        <v>0</v>
      </c>
      <c r="AE24" s="16">
        <f>iferror(if(AC24="",E24,AC24)*AD24,"")</f>
        <v>0</v>
      </c>
      <c r="AF24" s="17" t="s">
        <v>120</v>
      </c>
    </row>
    <row r="25" spans="1:32">
      <c r="A25" s="15" t="s">
        <v>59</v>
      </c>
      <c r="B25" s="15" t="s">
        <v>60</v>
      </c>
      <c r="C25" s="15" t="s">
        <v>55</v>
      </c>
      <c r="D25" s="15" t="s">
        <v>56</v>
      </c>
      <c r="E25" s="15">
        <f>BoardQty*1</f>
        <v>0</v>
      </c>
      <c r="F25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25" s="16">
        <f>iferror(E25*F25,"")</f>
        <v>0</v>
      </c>
      <c r="H25" s="15">
        <v>26119</v>
      </c>
      <c r="J25" s="16">
        <f>iferror(EUR_USD*lookup(if(I25="",E25,I25),{0,1,10,25,50,100,250,500,1000},{0.0,0.7,0.67,0.658,0.6332,0.5463,0.4966,0.47178,0.37245}),"")</f>
        <v>0</v>
      </c>
      <c r="K25" s="16">
        <f>iferror(if(I25="",E25,I25)*J25,"")</f>
        <v>0</v>
      </c>
      <c r="L25" s="17" t="s">
        <v>96</v>
      </c>
      <c r="M25" s="15">
        <v>15316</v>
      </c>
      <c r="O25" s="16">
        <f>iferror(EUR_GBP*lookup(if(N25="",E25,N25),{0,1,5,100,250,1000,2500},{0.0,0.535,0.535,0.46,0.398,0.314,0.308}),"")</f>
        <v>0</v>
      </c>
      <c r="P25" s="16">
        <f>iferror(if(N25="",E25,N25)*O25,"")</f>
        <v>0</v>
      </c>
      <c r="Q25" s="17" t="s">
        <v>100</v>
      </c>
      <c r="R25" s="15">
        <v>8202</v>
      </c>
      <c r="T25" s="16">
        <f>iferror(EUR_USD*lookup(if(S25="",E25,S25),{0,1,10,25,50,100,200,500,1000,10000},{0.0,0.67,0.67,0.658,0.633,0.546,0.496,0.471,0.391,0.391}),"")</f>
        <v>0</v>
      </c>
      <c r="U25" s="16">
        <f>iferror(if(S25="",E25,S25)*T25,"")</f>
        <v>0</v>
      </c>
      <c r="V25" s="17" t="s">
        <v>108</v>
      </c>
      <c r="W25" s="15">
        <v>15379</v>
      </c>
      <c r="Y25" s="16">
        <f>iferror(EUR_USD*lookup(if(X25="",E25,X25),{0,1,5,10,25,50,100,250,500,1000,1500},{0.0,0.711,0.734,0.705,0.699,0.674,0.587,0.537,0.512,0.432,0.432}),"")</f>
        <v>0</v>
      </c>
      <c r="Z25" s="16">
        <f>iferror(if(X25="",E25,X25)*Y25,"")</f>
        <v>0</v>
      </c>
      <c r="AA25" s="17" t="s">
        <v>114</v>
      </c>
      <c r="AB25" s="15">
        <v>1395</v>
      </c>
      <c r="AD25" s="16">
        <f>iferror(EUR_GBP*lookup(if(AC25="",E25,AC25),{0,1,5,125,500,1250},{0.0,0.5,0.5,0.396,0.342,0.27}),"")</f>
        <v>0</v>
      </c>
      <c r="AE25" s="16">
        <f>iferror(if(AC25="",E25,AC25)*AD25,"")</f>
        <v>0</v>
      </c>
      <c r="AF25" s="17" t="s">
        <v>120</v>
      </c>
    </row>
    <row r="26" spans="1:32">
      <c r="A26" s="15" t="s">
        <v>61</v>
      </c>
      <c r="B26" s="15" t="s">
        <v>62</v>
      </c>
      <c r="C26" s="15" t="s">
        <v>63</v>
      </c>
      <c r="D26" s="15" t="s">
        <v>62</v>
      </c>
      <c r="E26" s="15">
        <f>BoardQty*1</f>
        <v>0</v>
      </c>
      <c r="F26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26" s="16">
        <f>iferror(E26*F26,"")</f>
        <v>0</v>
      </c>
    </row>
    <row r="27" spans="1:32">
      <c r="A27" s="15" t="s">
        <v>64</v>
      </c>
      <c r="B27" s="15" t="s">
        <v>65</v>
      </c>
      <c r="C27" s="15" t="s">
        <v>66</v>
      </c>
      <c r="D27" s="15" t="s">
        <v>65</v>
      </c>
      <c r="E27" s="15">
        <f>BoardQty*1</f>
        <v>0</v>
      </c>
      <c r="F27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27" s="16">
        <f>iferror(E27*F27,"")</f>
        <v>0</v>
      </c>
    </row>
    <row r="28" spans="1:32">
      <c r="A28" s="15" t="s">
        <v>67</v>
      </c>
      <c r="B28" s="15" t="s">
        <v>68</v>
      </c>
      <c r="C28" s="15" t="s">
        <v>69</v>
      </c>
      <c r="E28" s="15">
        <f>BoardQty*1</f>
        <v>0</v>
      </c>
      <c r="F28" s="16">
        <f>MINA(INDIRECT(ADDRESS(ROW(),COLUMN(digikey_part_data)+2)),INDIRECT(ADDRESS(ROW(),COLUMN(farnell_part_data)+2)),INDIRECT(ADDRESS(ROW(),COLUMN(mouser_part_data)+2)),INDIRECT(ADDRESS(ROW(),COLUMN(newark_part_data)+2)),INDIRECT(ADDRESS(ROW(),COLUMN(rs_part_data)+2)))</f>
        <v>0</v>
      </c>
      <c r="G28" s="16">
        <f>iferror(E28*F28,"")</f>
        <v>0</v>
      </c>
    </row>
    <row r="30" spans="1:32">
      <c r="B30" s="19" t="s">
        <v>72</v>
      </c>
      <c r="F30" s="2" t="s">
        <v>70</v>
      </c>
      <c r="G30" s="6">
        <f>SUM(INDIRECT(ADDRESS(ROW(),COLUMN(digikey_part_data)+3)),INDIRECT(ADDRESS(ROW(),COLUMN(farnell_part_data)+3)),INDIRECT(ADDRESS(ROW(),COLUMN(mouser_part_data)+3)),INDIRECT(ADDRESS(ROW(),COLUMN(newark_part_data)+3)),INDIRECT(ADDRESS(ROW(),COLUMN(rs_part_data)+3)))</f>
        <v>0</v>
      </c>
      <c r="I30" s="7">
        <f>IFERROR(IF(OR(I7:I28),COUNTIFS(I7:I28,"&gt;0",K7:K28,"&lt;&gt;")&amp;" of "&amp;(ROWS(K7:K28)-COUNTBLANK(K7:K28))&amp;" parts purchased",""),"")</f>
        <v>0</v>
      </c>
      <c r="K30" s="6">
        <f>SUMIF(I7:I28,"&gt;0",K7:K28)</f>
        <v>0</v>
      </c>
      <c r="N30" s="7">
        <f>IFERROR(IF(OR(N7:N28),COUNTIFS(N7:N28,"&gt;0",P7:P28,"&lt;&gt;")&amp;" of "&amp;(ROWS(P7:P28)-COUNTBLANK(P7:P28))&amp;" parts purchased",""),"")</f>
        <v>0</v>
      </c>
      <c r="P30" s="6">
        <f>SUMIF(N7:N28,"&gt;0",P7:P28)</f>
        <v>0</v>
      </c>
      <c r="S30" s="7">
        <f>IFERROR(IF(OR(S7:S28),COUNTIFS(S7:S28,"&gt;0",U7:U28,"&lt;&gt;")&amp;" of "&amp;(ROWS(U7:U28)-COUNTBLANK(U7:U28))&amp;" parts purchased",""),"")</f>
        <v>0</v>
      </c>
      <c r="U30" s="6">
        <f>SUMIF(S7:S28,"&gt;0",U7:U28)</f>
        <v>0</v>
      </c>
      <c r="X30" s="7">
        <f>IFERROR(IF(OR(X7:X28),COUNTIFS(X7:X28,"&gt;0",Z7:Z28,"&lt;&gt;")&amp;" of "&amp;(ROWS(Z7:Z28)-COUNTBLANK(Z7:Z28))&amp;" parts purchased",""),"")</f>
        <v>0</v>
      </c>
      <c r="Z30" s="6">
        <f>SUMIF(X7:X28,"&gt;0",Z7:Z28)</f>
        <v>0</v>
      </c>
      <c r="AC30" s="7">
        <f>IFERROR(IF(OR(AC7:AC28),COUNTIFS(AC7:AC28,"&gt;0",AE7:AE28,"&lt;&gt;")&amp;" of "&amp;(ROWS(AE7:AE28)-COUNTBLANK(AE7:AE28))&amp;" parts purchased",""),"")</f>
        <v>0</v>
      </c>
      <c r="AE30" s="6">
        <f>SUMIF(AC7:AC28,"&gt;0",AE7:AE28)</f>
        <v>0</v>
      </c>
    </row>
    <row r="31" spans="1:32">
      <c r="B31" s="19" t="s">
        <v>73</v>
      </c>
      <c r="C31">
        <v>1.155468253509735</v>
      </c>
      <c r="F31" s="19" t="s">
        <v>71</v>
      </c>
      <c r="I31">
        <f t="array" ref="I31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31">
        <f t="array" ref="N31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31">
        <f t="array" ref="S31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31">
        <f t="array" ref="X31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31">
        <f t="array" ref="AC31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32" spans="1:32">
      <c r="B32" s="19" t="s">
        <v>74</v>
      </c>
      <c r="C32">
        <v>0.8921402444464269</v>
      </c>
      <c r="I32">
        <f t="array" ref="I32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32">
        <f t="array" ref="N32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32">
        <f t="array" ref="S32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32">
        <f t="array" ref="X32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32">
        <f t="array" ref="AC32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33" spans="1:29">
      <c r="I33">
        <f t="array" ref="I33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33">
        <f t="array" ref="N33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33">
        <f t="array" ref="S33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33">
        <f t="array" ref="X33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33">
        <f t="array" ref="AC33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34" spans="1:29">
      <c r="A34" s="3" t="s">
        <v>121</v>
      </c>
      <c r="I34">
        <f t="array" ref="I34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34">
        <f t="array" ref="N34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34">
        <f t="array" ref="S34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34">
        <f t="array" ref="X34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34">
        <f t="array" ref="AC34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35" spans="1:29">
      <c r="I35">
        <f t="array" ref="I35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35">
        <f t="array" ref="N35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35">
        <f t="array" ref="S35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35">
        <f t="array" ref="X35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35">
        <f t="array" ref="AC35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36" spans="1:29">
      <c r="I36">
        <f t="array" ref="I36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36">
        <f t="array" ref="N36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36">
        <f t="array" ref="S36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36">
        <f t="array" ref="X36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36">
        <f t="array" ref="AC36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37" spans="1:29">
      <c r="I37">
        <f t="array" ref="I37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37">
        <f t="array" ref="N37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37">
        <f t="array" ref="S37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37">
        <f t="array" ref="X37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37">
        <f t="array" ref="AC37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38" spans="1:29">
      <c r="I38">
        <f t="array" ref="I38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38">
        <f t="array" ref="N38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38">
        <f t="array" ref="S38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38">
        <f t="array" ref="X38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38">
        <f t="array" ref="AC38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39" spans="1:29">
      <c r="I39">
        <f t="array" ref="I39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39">
        <f t="array" ref="N39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39">
        <f t="array" ref="S39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39">
        <f t="array" ref="X39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39">
        <f t="array" ref="AC39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40" spans="1:29">
      <c r="I40">
        <f t="array" ref="I40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40">
        <f t="array" ref="N40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40">
        <f t="array" ref="S40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40">
        <f t="array" ref="X40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40">
        <f t="array" ref="AC40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41" spans="1:29">
      <c r="I41">
        <f t="array" ref="I41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41">
        <f t="array" ref="N41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41">
        <f t="array" ref="S41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41">
        <f t="array" ref="X41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41">
        <f t="array" ref="AC41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42" spans="1:29">
      <c r="I42">
        <f t="array" ref="I42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42">
        <f t="array" ref="N42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42">
        <f t="array" ref="S42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42">
        <f t="array" ref="X42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42">
        <f t="array" ref="AC42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43" spans="1:29">
      <c r="I43">
        <f t="array" ref="I43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43">
        <f t="array" ref="N43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43">
        <f t="array" ref="S43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43">
        <f t="array" ref="X43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43">
        <f t="array" ref="AC43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44" spans="1:29">
      <c r="I44">
        <f t="array" ref="I44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44">
        <f t="array" ref="N44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44">
        <f t="array" ref="S44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44">
        <f t="array" ref="X44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44">
        <f t="array" ref="AC44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45" spans="1:29">
      <c r="I45">
        <f t="array" ref="I45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45">
        <f t="array" ref="N45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45">
        <f t="array" ref="S45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45">
        <f t="array" ref="X45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45">
        <f t="array" ref="AC45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46" spans="1:29">
      <c r="I46">
        <f t="array" ref="I46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46">
        <f t="array" ref="N46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46">
        <f t="array" ref="S46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46">
        <f t="array" ref="X46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46">
        <f t="array" ref="AC46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47" spans="1:29">
      <c r="I47">
        <f t="array" ref="I47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47">
        <f t="array" ref="N47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47">
        <f t="array" ref="S47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47">
        <f t="array" ref="X47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47">
        <f t="array" ref="AC47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48" spans="1:29">
      <c r="I48">
        <f t="array" ref="I48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48">
        <f t="array" ref="N48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48">
        <f t="array" ref="S48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48">
        <f t="array" ref="X48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48">
        <f t="array" ref="AC48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49" spans="9:29">
      <c r="I49">
        <f t="array" ref="I49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49">
        <f t="array" ref="N49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49">
        <f t="array" ref="S49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49">
        <f t="array" ref="X49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49">
        <f t="array" ref="AC49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50" spans="9:29">
      <c r="I50">
        <f t="array" ref="I50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50">
        <f t="array" ref="N50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50">
        <f t="array" ref="S50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50">
        <f t="array" ref="X50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50">
        <f t="array" ref="AC50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51" spans="9:29">
      <c r="I51">
        <f t="array" ref="I51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51">
        <f t="array" ref="N51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51">
        <f t="array" ref="S51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51">
        <f t="array" ref="X51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51">
        <f t="array" ref="AC51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  <row r="52" spans="9:29">
      <c r="I52">
        <f t="array" ref="I52">IFERROR(CONCATENATE(TEXT(INDEX(I7:I28,SMALL(IF(ISNUMBER(I7:I28),IF(I7:I28&gt;0,IF(L7:L28&lt;&gt;"",ROW(I7:I28)-MIN(ROW(I7:I28))+1))),ROW()-ROW(A$31)+1)),"##0"),",",INDEX(L7:L28,SMALL(IF(ISNUMBER(I7:I28),IF(I7:I28&gt;0,IF(L7:L28&lt;&gt;"",ROW(I7:I28)-MIN(ROW(I7:I28))+1))),ROW()-ROW(A$31)+1)),",",SUBSTITUTE(INDEX(IF(PURCHASE_DESCRIPTION&lt;&gt;"",PURCHASE_DESCRIPTION&amp;":","")&amp;A7:A28,SMALL(IF(ISNUMBER(I7:I28),IF(I7:I28&gt;0,IF(L7:L28&lt;&gt;"",ROW(I7:I28)-MIN(ROW(I7:I28))+1))),ROW()-ROW(A$31)+1)),",",";")),"")</f>
        <v>0</v>
      </c>
      <c r="N52">
        <f t="array" ref="N52">IFERROR(CONCATENATE(INDEX(Q7:Q28,SMALL(IF(ISNUMBER(N7:N28),IF(N7:N28&gt;0,IF(Q7:Q28&lt;&gt;"",ROW(N7:N28)-MIN(ROW(N7:N28))+1))),ROW()-ROW(A$31)+1))," ",TEXT(INDEX(N7:N28,SMALL(IF(ISNUMBER(N7:N28),IF(N7:N28&gt;0,IF(Q7:Q28&lt;&gt;"",ROW(N7:N28)-MIN(ROW(N7:N28))+1))),ROW()-ROW(A$31)+1)),"##0")," ",SUBSTITUTE(INDEX(IF(PURCHASE_DESCRIPTION&lt;&gt;"",PURCHASE_DESCRIPTION&amp;":","")&amp;A7:A28,SMALL(IF(ISNUMBER(N7:N28),IF(N7:N28&gt;0,IF(Q7:Q28&lt;&gt;"",ROW(N7:N28)-MIN(ROW(N7:N28))+1))),ROW()-ROW(A$31)+1))," ",";")),"")</f>
        <v>0</v>
      </c>
      <c r="S52">
        <f t="array" ref="S52">IFERROR(CONCATENATE(INDEX(V7:V28,SMALL(IF(ISNUMBER(S7:S28),IF(S7:S28&gt;0,IF(V7:V28&lt;&gt;"",ROW(S7:S28)-MIN(ROW(S7:S28))+1))),ROW()-ROW(A$31)+1)),"|",TEXT(INDEX(S7:S28,SMALL(IF(ISNUMBER(S7:S28),IF(S7:S28&gt;0,IF(V7:V28&lt;&gt;"",ROW(S7:S28)-MIN(ROW(S7:S28))+1))),ROW()-ROW(A$31)+1)),"##0"),"|",SUBSTITUTE(SUBSTITUTE(INDEX(IF(PURCHASE_DESCRIPTION&lt;&gt;"",PURCHASE_DESCRIPTION&amp;":","")&amp;A7:A28,SMALL(IF(ISNUMBER(S7:S28),IF(S7:S28&gt;0,IF(V7:V28&lt;&gt;"",ROW(S7:S28)-MIN(ROW(S7:S28))+1))),ROW()-ROW(A$31)+1)),"|",";")," ","_")),"")</f>
        <v>0</v>
      </c>
      <c r="X52">
        <f t="array" ref="X52">IFERROR(CONCATENATE(INDEX(AA7:AA28,SMALL(IF(ISNUMBER(X7:X28),IF(X7:X28&gt;0,IF(AA7:AA28&lt;&gt;"",ROW(X7:X28)-MIN(ROW(X7:X28))+1))),ROW()-ROW(A$31)+1)),",",TEXT(INDEX(X7:X28,SMALL(IF(ISNUMBER(X7:X28),IF(X7:X28&gt;0,IF(AA7:AA28&lt;&gt;"",ROW(X7:X28)-MIN(ROW(X7:X28))+1))),ROW()-ROW(A$31)+1)),"##0"),",",SUBSTITUTE(INDEX(IF(PURCHASE_DESCRIPTION&lt;&gt;"",PURCHASE_DESCRIPTION&amp;":","")&amp;A7:A28,SMALL(IF(ISNUMBER(X7:X28),IF(X7:X28&gt;0,IF(AA7:AA28&lt;&gt;"",ROW(X7:X28)-MIN(ROW(X7:X28))+1))),ROW()-ROW(A$31)+1)),",",";")),"")</f>
        <v>0</v>
      </c>
      <c r="AC52">
        <f t="array" ref="AC52">IFERROR(CONCATENATE(INDEX(AF7:AF28,SMALL(IF(ISNUMBER(AC7:AC28),IF(AC7:AC28&gt;0,IF(AF7:AF28&lt;&gt;"",ROW(AC7:AC28)-MIN(ROW(AC7:AC28))+1))),ROW()-ROW(A$31)+1))," ",TEXT(INDEX(AC7:AC28,SMALL(IF(ISNUMBER(AC7:AC28),IF(AC7:AC28&gt;0,IF(AF7:AF28&lt;&gt;"",ROW(AC7:AC28)-MIN(ROW(AC7:AC28))+1))),ROW()-ROW(A$31)+1)),"##0")," ",SUBSTITUTE(INDEX(IF(PURCHASE_DESCRIPTION&lt;&gt;"",PURCHASE_DESCRIPTION&amp;":","")&amp;A7:A28,SMALL(IF(ISNUMBER(AC7:AC28),IF(AC7:AC28&gt;0,IF(AF7:AF28&lt;&gt;"",ROW(AC7:AC28)-MIN(ROW(AC7:AC28))+1))),ROW()-ROW(A$31)+1))," ",";")),"")</f>
        <v>0</v>
      </c>
    </row>
  </sheetData>
  <mergeCells count="6">
    <mergeCell ref="A5:G5"/>
    <mergeCell ref="H5:L5"/>
    <mergeCell ref="M5:Q5"/>
    <mergeCell ref="R5:V5"/>
    <mergeCell ref="W5:AA5"/>
    <mergeCell ref="AB5:AF5"/>
  </mergeCells>
  <conditionalFormatting sqref="AB10">
    <cfRule type="cellIs" dxfId="1" priority="250" operator="equal">
      <formula>0</formula>
    </cfRule>
    <cfRule type="cellIs" dxfId="2" priority="251" operator="lessThan">
      <formula>E10</formula>
    </cfRule>
  </conditionalFormatting>
  <conditionalFormatting sqref="AB15">
    <cfRule type="cellIs" dxfId="1" priority="255" operator="equal">
      <formula>0</formula>
    </cfRule>
    <cfRule type="cellIs" dxfId="2" priority="256" operator="lessThan">
      <formula>E15</formula>
    </cfRule>
  </conditionalFormatting>
  <conditionalFormatting sqref="AB23">
    <cfRule type="cellIs" dxfId="1" priority="261" operator="equal">
      <formula>0</formula>
    </cfRule>
    <cfRule type="cellIs" dxfId="2" priority="262" operator="lessThan">
      <formula>E23</formula>
    </cfRule>
  </conditionalFormatting>
  <conditionalFormatting sqref="AB24">
    <cfRule type="cellIs" dxfId="1" priority="267" operator="equal">
      <formula>0</formula>
    </cfRule>
    <cfRule type="cellIs" dxfId="2" priority="268" operator="lessThan">
      <formula>E24</formula>
    </cfRule>
  </conditionalFormatting>
  <conditionalFormatting sqref="AB25">
    <cfRule type="cellIs" dxfId="1" priority="273" operator="equal">
      <formula>0</formula>
    </cfRule>
    <cfRule type="cellIs" dxfId="2" priority="274" operator="lessThan">
      <formula>E25</formula>
    </cfRule>
  </conditionalFormatting>
  <conditionalFormatting sqref="AB8">
    <cfRule type="cellIs" dxfId="1" priority="240" operator="equal">
      <formula>0</formula>
    </cfRule>
    <cfRule type="cellIs" dxfId="2" priority="241" operator="lessThan">
      <formula>E8</formula>
    </cfRule>
  </conditionalFormatting>
  <conditionalFormatting sqref="AB9">
    <cfRule type="cellIs" dxfId="1" priority="245" operator="equal">
      <formula>0</formula>
    </cfRule>
    <cfRule type="cellIs" dxfId="2" priority="246" operator="lessThan">
      <formula>E9</formula>
    </cfRule>
  </conditionalFormatting>
  <conditionalFormatting sqref="AC10">
    <cfRule type="cellIs" dxfId="1" priority="252" operator="greaterThan">
      <formula>AB10</formula>
    </cfRule>
  </conditionalFormatting>
  <conditionalFormatting sqref="AC15">
    <cfRule type="expression" dxfId="3" priority="257">
      <formula>AND(AC15&gt;0,AC15&lt;5)</formula>
    </cfRule>
    <cfRule type="cellIs" dxfId="1" priority="258" operator="greaterThan">
      <formula>AB15</formula>
    </cfRule>
  </conditionalFormatting>
  <conditionalFormatting sqref="AC23">
    <cfRule type="expression" dxfId="3" priority="263">
      <formula>AND(AC23&gt;0,AC23&lt;5)</formula>
    </cfRule>
    <cfRule type="cellIs" dxfId="1" priority="264" operator="greaterThan">
      <formula>AB23</formula>
    </cfRule>
  </conditionalFormatting>
  <conditionalFormatting sqref="AC24">
    <cfRule type="expression" dxfId="3" priority="269">
      <formula>AND(AC24&gt;0,AC24&lt;5)</formula>
    </cfRule>
    <cfRule type="cellIs" dxfId="1" priority="270" operator="greaterThan">
      <formula>AB24</formula>
    </cfRule>
  </conditionalFormatting>
  <conditionalFormatting sqref="AC25">
    <cfRule type="expression" dxfId="3" priority="275">
      <formula>AND(AC25&gt;0,AC25&lt;5)</formula>
    </cfRule>
    <cfRule type="cellIs" dxfId="1" priority="276" operator="greaterThan">
      <formula>AB25</formula>
    </cfRule>
  </conditionalFormatting>
  <conditionalFormatting sqref="AC8">
    <cfRule type="cellIs" dxfId="1" priority="242" operator="greaterThan">
      <formula>AB8</formula>
    </cfRule>
  </conditionalFormatting>
  <conditionalFormatting sqref="AC9">
    <cfRule type="cellIs" dxfId="1" priority="247" operator="greaterThan">
      <formula>AB9</formula>
    </cfRule>
  </conditionalFormatting>
  <conditionalFormatting sqref="AD10">
    <cfRule type="cellIs" dxfId="4" priority="254" operator="lessThanOrEqual">
      <formula>F10</formula>
    </cfRule>
  </conditionalFormatting>
  <conditionalFormatting sqref="AD15">
    <cfRule type="cellIs" dxfId="4" priority="260" operator="lessThanOrEqual">
      <formula>F15</formula>
    </cfRule>
  </conditionalFormatting>
  <conditionalFormatting sqref="AD23">
    <cfRule type="cellIs" dxfId="4" priority="266" operator="lessThanOrEqual">
      <formula>F23</formula>
    </cfRule>
  </conditionalFormatting>
  <conditionalFormatting sqref="AD24">
    <cfRule type="cellIs" dxfId="4" priority="272" operator="lessThanOrEqual">
      <formula>F24</formula>
    </cfRule>
  </conditionalFormatting>
  <conditionalFormatting sqref="AD25">
    <cfRule type="cellIs" dxfId="4" priority="278" operator="lessThanOrEqual">
      <formula>F25</formula>
    </cfRule>
  </conditionalFormatting>
  <conditionalFormatting sqref="AD8">
    <cfRule type="cellIs" dxfId="4" priority="244" operator="lessThanOrEqual">
      <formula>F8</formula>
    </cfRule>
  </conditionalFormatting>
  <conditionalFormatting sqref="AD9">
    <cfRule type="cellIs" dxfId="4" priority="249" operator="lessThanOrEqual">
      <formula>F9</formula>
    </cfRule>
  </conditionalFormatting>
  <conditionalFormatting sqref="AE10">
    <cfRule type="cellIs" dxfId="4" priority="253" operator="lessThanOrEqual">
      <formula>G10</formula>
    </cfRule>
  </conditionalFormatting>
  <conditionalFormatting sqref="AE15">
    <cfRule type="cellIs" dxfId="4" priority="259" operator="lessThanOrEqual">
      <formula>G15</formula>
    </cfRule>
  </conditionalFormatting>
  <conditionalFormatting sqref="AE23">
    <cfRule type="cellIs" dxfId="4" priority="265" operator="lessThanOrEqual">
      <formula>G23</formula>
    </cfRule>
  </conditionalFormatting>
  <conditionalFormatting sqref="AE24">
    <cfRule type="cellIs" dxfId="4" priority="271" operator="lessThanOrEqual">
      <formula>G24</formula>
    </cfRule>
  </conditionalFormatting>
  <conditionalFormatting sqref="AE25">
    <cfRule type="cellIs" dxfId="4" priority="277" operator="lessThanOrEqual">
      <formula>G25</formula>
    </cfRule>
  </conditionalFormatting>
  <conditionalFormatting sqref="AE8">
    <cfRule type="cellIs" dxfId="4" priority="243" operator="lessThanOrEqual">
      <formula>G8</formula>
    </cfRule>
  </conditionalFormatting>
  <conditionalFormatting sqref="AE9">
    <cfRule type="cellIs" dxfId="4" priority="248" operator="lessThanOrEqual">
      <formula>G9</formula>
    </cfRule>
  </conditionalFormatting>
  <conditionalFormatting sqref="E10">
    <cfRule type="expression" dxfId="0" priority="13">
      <formula>AND(ISBLANK(D10)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14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15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16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11">
    <cfRule type="expression" dxfId="0" priority="17">
      <formula>AND(ISBLANK(D11)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18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19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20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12">
    <cfRule type="expression" dxfId="0" priority="21">
      <formula>AND(ISBLANK(D12)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22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23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24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13">
    <cfRule type="expression" dxfId="0" priority="25">
      <formula>AND(ISBLANK(D13)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26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27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28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14">
    <cfRule type="expression" dxfId="0" priority="29">
      <formula>AND(ISBLANK(D14)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30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31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32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15">
    <cfRule type="expression" dxfId="0" priority="33">
      <formula>AND(ISBLANK(D15)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34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35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36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16">
    <cfRule type="expression" dxfId="0" priority="37">
      <formula>AND(ISBLANK(D16)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38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39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40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17">
    <cfRule type="expression" dxfId="0" priority="41">
      <formula>AND(ISBLANK(D17)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42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43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44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18">
    <cfRule type="expression" dxfId="0" priority="45">
      <formula>AND(ISBLANK(D18)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46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47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48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19">
    <cfRule type="expression" dxfId="0" priority="49">
      <formula>AND(ISBLANK(D19)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50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51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52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20">
    <cfRule type="expression" dxfId="0" priority="53">
      <formula>AND(ISBLANK(D20)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54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55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56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21">
    <cfRule type="expression" dxfId="0" priority="57">
      <formula>AND(ISBLANK(D21)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58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59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60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22">
    <cfRule type="expression" dxfId="0" priority="61">
      <formula>AND(ISBLANK(D22)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62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63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64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23">
    <cfRule type="expression" dxfId="0" priority="65">
      <formula>AND(ISBLANK(D23)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66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67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68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24">
    <cfRule type="expression" dxfId="0" priority="69">
      <formula>AND(ISBLANK(D24)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70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71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72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25">
    <cfRule type="expression" dxfId="0" priority="73">
      <formula>AND(ISBLANK(D25)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74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75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76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26">
    <cfRule type="expression" dxfId="0" priority="77">
      <formula>AND(ISBLANK(D26)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78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79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80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27">
    <cfRule type="expression" dxfId="0" priority="81">
      <formula>AND(ISBLANK(D27)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82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83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84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28">
    <cfRule type="expression" dxfId="0" priority="85">
      <formula>AND(ISBLANK(D28)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86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87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88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7">
    <cfRule type="expression" dxfId="0" priority="1">
      <formula>AND(ISBLANK(D7)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2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3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4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8">
    <cfRule type="expression" dxfId="0" priority="5">
      <formula>AND(ISBLANK(D8)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6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7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8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E9">
    <cfRule type="expression" dxfId="0" priority="9">
      <formula>AND(ISBLANK(D9),ISBLANK(INDIRECT(ADDRESS(ROW(),COLUMN(digikey_part_data)+4))),ISBLANK(INDIRECT(ADDRESS(ROW(),COLUMN(farnell_part_data)+4))),ISBLANK(INDIRECT(ADDRESS(ROW(),COLUMN(mouser_part_data)+4))),ISBLANK(INDIRECT(ADDRESS(ROW(),COLUMN(newark_part_data)+4))),ISBLANK(INDIRECT(ADDRESS(ROW(),COLUMN(rs_part_data)+4))))</formula>
    </cfRule>
    <cfRule type="expression" dxfId="1" priority="10">
      <formula>IF(SUM(INDIRECT(ADDRESS(ROW(),COLUMN(digikey_part_data)+0)),INDIRECT(ADDRESS(ROW(),COLUMN(farnell_part_data)+0)),INDIRECT(ADDRESS(ROW(),COLUMN(mouser_part_data)+0)),INDIRECT(ADDRESS(ROW(),COLUMN(newark_part_data)+0)),INDIRECT(ADDRESS(ROW(),COLUMN(rs_part_data)+0)))=0,1,0)</formula>
    </cfRule>
    <cfRule type="cellIs" dxfId="2" priority="11" operator="greaterThan">
      <formula>SUM(INDIRECT(ADDRESS(ROW(),COLUMN(digikey_part_data)+0)),INDIRECT(ADDRESS(ROW(),COLUMN(farnell_part_data)+0)),INDIRECT(ADDRESS(ROW(),COLUMN(mouser_part_data)+0)),INDIRECT(ADDRESS(ROW(),COLUMN(newark_part_data)+0)),INDIRECT(ADDRESS(ROW(),COLUMN(rs_part_data)+0)))</formula>
    </cfRule>
    <cfRule type="cellIs" dxfId="3" priority="12" operator="greaterThan">
      <formula>SUM(IF(ISNUMBER(INDIRECT(ADDRESS(ROW(),COLUMN(digikey_part_data)+2))),INDIRECT(ADDRESS(ROW(),COLUMN(digikey_part_data)+1)),0),IF(ISNUMBER(INDIRECT(ADDRESS(ROW(),COLUMN(farnell_part_data)+2))),INDIRECT(ADDRESS(ROW(),COLUMN(farnell_part_data)+1)),0),IF(ISNUMBER(INDIRECT(ADDRESS(ROW(),COLUMN(mouser_part_data)+2))),INDIRECT(ADDRESS(ROW(),COLUMN(mouser_part_data)+1)),0),IF(ISNUMBER(INDIRECT(ADDRESS(ROW(),COLUMN(newark_part_data)+2))),INDIRECT(ADDRESS(ROW(),COLUMN(newark_part_data)+1)),0),IF(ISNUMBER(INDIRECT(ADDRESS(ROW(),COLUMN(rs_part_data)+2))),INDIRECT(ADDRESS(ROW(),COLUMN(rs_part_data)+1)),0))</formula>
    </cfRule>
  </conditionalFormatting>
  <conditionalFormatting sqref="H10">
    <cfRule type="cellIs" dxfId="1" priority="99" operator="equal">
      <formula>0</formula>
    </cfRule>
    <cfRule type="cellIs" dxfId="2" priority="100" operator="lessThan">
      <formula>E10</formula>
    </cfRule>
  </conditionalFormatting>
  <conditionalFormatting sqref="H14">
    <cfRule type="cellIs" dxfId="1" priority="104" operator="equal">
      <formula>0</formula>
    </cfRule>
    <cfRule type="cellIs" dxfId="2" priority="105" operator="lessThan">
      <formula>E14</formula>
    </cfRule>
  </conditionalFormatting>
  <conditionalFormatting sqref="H15">
    <cfRule type="cellIs" dxfId="1" priority="109" operator="equal">
      <formula>0</formula>
    </cfRule>
    <cfRule type="cellIs" dxfId="2" priority="110" operator="lessThan">
      <formula>E15</formula>
    </cfRule>
  </conditionalFormatting>
  <conditionalFormatting sqref="H16">
    <cfRule type="cellIs" dxfId="1" priority="114" operator="equal">
      <formula>0</formula>
    </cfRule>
    <cfRule type="cellIs" dxfId="2" priority="115" operator="lessThan">
      <formula>E16</formula>
    </cfRule>
  </conditionalFormatting>
  <conditionalFormatting sqref="H23">
    <cfRule type="cellIs" dxfId="1" priority="119" operator="equal">
      <formula>0</formula>
    </cfRule>
    <cfRule type="cellIs" dxfId="2" priority="120" operator="lessThan">
      <formula>E23</formula>
    </cfRule>
  </conditionalFormatting>
  <conditionalFormatting sqref="H24">
    <cfRule type="cellIs" dxfId="1" priority="124" operator="equal">
      <formula>0</formula>
    </cfRule>
    <cfRule type="cellIs" dxfId="2" priority="125" operator="lessThan">
      <formula>E24</formula>
    </cfRule>
  </conditionalFormatting>
  <conditionalFormatting sqref="H25">
    <cfRule type="cellIs" dxfId="1" priority="129" operator="equal">
      <formula>0</formula>
    </cfRule>
    <cfRule type="cellIs" dxfId="2" priority="130" operator="lessThan">
      <formula>E25</formula>
    </cfRule>
  </conditionalFormatting>
  <conditionalFormatting sqref="H8">
    <cfRule type="cellIs" dxfId="1" priority="89" operator="equal">
      <formula>0</formula>
    </cfRule>
    <cfRule type="cellIs" dxfId="2" priority="90" operator="lessThan">
      <formula>E8</formula>
    </cfRule>
  </conditionalFormatting>
  <conditionalFormatting sqref="H9">
    <cfRule type="cellIs" dxfId="1" priority="94" operator="equal">
      <formula>0</formula>
    </cfRule>
    <cfRule type="cellIs" dxfId="2" priority="95" operator="lessThan">
      <formula>E9</formula>
    </cfRule>
  </conditionalFormatting>
  <conditionalFormatting sqref="I10">
    <cfRule type="cellIs" dxfId="1" priority="101" operator="greaterThan">
      <formula>H10</formula>
    </cfRule>
  </conditionalFormatting>
  <conditionalFormatting sqref="I14">
    <cfRule type="cellIs" dxfId="1" priority="106" operator="greaterThan">
      <formula>H14</formula>
    </cfRule>
  </conditionalFormatting>
  <conditionalFormatting sqref="I15">
    <cfRule type="cellIs" dxfId="1" priority="111" operator="greaterThan">
      <formula>H15</formula>
    </cfRule>
  </conditionalFormatting>
  <conditionalFormatting sqref="I16">
    <cfRule type="cellIs" dxfId="1" priority="116" operator="greaterThan">
      <formula>H16</formula>
    </cfRule>
  </conditionalFormatting>
  <conditionalFormatting sqref="I23">
    <cfRule type="cellIs" dxfId="1" priority="121" operator="greaterThan">
      <formula>H23</formula>
    </cfRule>
  </conditionalFormatting>
  <conditionalFormatting sqref="I24">
    <cfRule type="cellIs" dxfId="1" priority="126" operator="greaterThan">
      <formula>H24</formula>
    </cfRule>
  </conditionalFormatting>
  <conditionalFormatting sqref="I25">
    <cfRule type="cellIs" dxfId="1" priority="131" operator="greaterThan">
      <formula>H25</formula>
    </cfRule>
  </conditionalFormatting>
  <conditionalFormatting sqref="I8">
    <cfRule type="cellIs" dxfId="1" priority="91" operator="greaterThan">
      <formula>H8</formula>
    </cfRule>
  </conditionalFormatting>
  <conditionalFormatting sqref="I9">
    <cfRule type="cellIs" dxfId="1" priority="96" operator="greaterThan">
      <formula>H9</formula>
    </cfRule>
  </conditionalFormatting>
  <conditionalFormatting sqref="J10">
    <cfRule type="cellIs" dxfId="4" priority="103" operator="lessThanOrEqual">
      <formula>F10</formula>
    </cfRule>
  </conditionalFormatting>
  <conditionalFormatting sqref="J14">
    <cfRule type="cellIs" dxfId="4" priority="108" operator="lessThanOrEqual">
      <formula>F14</formula>
    </cfRule>
  </conditionalFormatting>
  <conditionalFormatting sqref="J15">
    <cfRule type="cellIs" dxfId="4" priority="113" operator="lessThanOrEqual">
      <formula>F15</formula>
    </cfRule>
  </conditionalFormatting>
  <conditionalFormatting sqref="J16">
    <cfRule type="cellIs" dxfId="4" priority="118" operator="lessThanOrEqual">
      <formula>F16</formula>
    </cfRule>
  </conditionalFormatting>
  <conditionalFormatting sqref="J23">
    <cfRule type="cellIs" dxfId="4" priority="123" operator="lessThanOrEqual">
      <formula>F23</formula>
    </cfRule>
  </conditionalFormatting>
  <conditionalFormatting sqref="J24">
    <cfRule type="cellIs" dxfId="4" priority="128" operator="lessThanOrEqual">
      <formula>F24</formula>
    </cfRule>
  </conditionalFormatting>
  <conditionalFormatting sqref="J25">
    <cfRule type="cellIs" dxfId="4" priority="133" operator="lessThanOrEqual">
      <formula>F25</formula>
    </cfRule>
  </conditionalFormatting>
  <conditionalFormatting sqref="J8">
    <cfRule type="cellIs" dxfId="4" priority="93" operator="lessThanOrEqual">
      <formula>F8</formula>
    </cfRule>
  </conditionalFormatting>
  <conditionalFormatting sqref="J9">
    <cfRule type="cellIs" dxfId="4" priority="98" operator="lessThanOrEqual">
      <formula>F9</formula>
    </cfRule>
  </conditionalFormatting>
  <conditionalFormatting sqref="K10">
    <cfRule type="cellIs" dxfId="4" priority="102" operator="lessThanOrEqual">
      <formula>G10</formula>
    </cfRule>
  </conditionalFormatting>
  <conditionalFormatting sqref="K14">
    <cfRule type="cellIs" dxfId="4" priority="107" operator="lessThanOrEqual">
      <formula>G14</formula>
    </cfRule>
  </conditionalFormatting>
  <conditionalFormatting sqref="K15">
    <cfRule type="cellIs" dxfId="4" priority="112" operator="lessThanOrEqual">
      <formula>G15</formula>
    </cfRule>
  </conditionalFormatting>
  <conditionalFormatting sqref="K16">
    <cfRule type="cellIs" dxfId="4" priority="117" operator="lessThanOrEqual">
      <formula>G16</formula>
    </cfRule>
  </conditionalFormatting>
  <conditionalFormatting sqref="K23">
    <cfRule type="cellIs" dxfId="4" priority="122" operator="lessThanOrEqual">
      <formula>G23</formula>
    </cfRule>
  </conditionalFormatting>
  <conditionalFormatting sqref="K24">
    <cfRule type="cellIs" dxfId="4" priority="127" operator="lessThanOrEqual">
      <formula>G24</formula>
    </cfRule>
  </conditionalFormatting>
  <conditionalFormatting sqref="K25">
    <cfRule type="cellIs" dxfId="4" priority="132" operator="lessThanOrEqual">
      <formula>G25</formula>
    </cfRule>
  </conditionalFormatting>
  <conditionalFormatting sqref="K8">
    <cfRule type="cellIs" dxfId="4" priority="92" operator="lessThanOrEqual">
      <formula>G8</formula>
    </cfRule>
  </conditionalFormatting>
  <conditionalFormatting sqref="K9">
    <cfRule type="cellIs" dxfId="4" priority="97" operator="lessThanOrEqual">
      <formula>G9</formula>
    </cfRule>
  </conditionalFormatting>
  <conditionalFormatting sqref="M10">
    <cfRule type="cellIs" dxfId="1" priority="134" operator="equal">
      <formula>0</formula>
    </cfRule>
    <cfRule type="cellIs" dxfId="2" priority="135" operator="lessThan">
      <formula>E10</formula>
    </cfRule>
  </conditionalFormatting>
  <conditionalFormatting sqref="M15">
    <cfRule type="cellIs" dxfId="1" priority="140" operator="equal">
      <formula>0</formula>
    </cfRule>
    <cfRule type="cellIs" dxfId="2" priority="141" operator="lessThan">
      <formula>E15</formula>
    </cfRule>
  </conditionalFormatting>
  <conditionalFormatting sqref="M23">
    <cfRule type="cellIs" dxfId="1" priority="146" operator="equal">
      <formula>0</formula>
    </cfRule>
    <cfRule type="cellIs" dxfId="2" priority="147" operator="lessThan">
      <formula>E23</formula>
    </cfRule>
  </conditionalFormatting>
  <conditionalFormatting sqref="M24">
    <cfRule type="cellIs" dxfId="1" priority="152" operator="equal">
      <formula>0</formula>
    </cfRule>
    <cfRule type="cellIs" dxfId="2" priority="153" operator="lessThan">
      <formula>E24</formula>
    </cfRule>
  </conditionalFormatting>
  <conditionalFormatting sqref="M25">
    <cfRule type="cellIs" dxfId="1" priority="158" operator="equal">
      <formula>0</formula>
    </cfRule>
    <cfRule type="cellIs" dxfId="2" priority="159" operator="lessThan">
      <formula>E25</formula>
    </cfRule>
  </conditionalFormatting>
  <conditionalFormatting sqref="N10">
    <cfRule type="expression" dxfId="3" priority="136">
      <formula>AND(N10&gt;0,N10&lt;5)</formula>
    </cfRule>
    <cfRule type="cellIs" dxfId="1" priority="137" operator="greaterThan">
      <formula>M10</formula>
    </cfRule>
  </conditionalFormatting>
  <conditionalFormatting sqref="N15">
    <cfRule type="expression" dxfId="3" priority="142">
      <formula>AND(N15&gt;0,N15&lt;100)</formula>
    </cfRule>
    <cfRule type="cellIs" dxfId="1" priority="143" operator="greaterThan">
      <formula>M15</formula>
    </cfRule>
  </conditionalFormatting>
  <conditionalFormatting sqref="N23">
    <cfRule type="expression" dxfId="3" priority="148">
      <formula>AND(N23&gt;0,N23&lt;5)</formula>
    </cfRule>
    <cfRule type="cellIs" dxfId="1" priority="149" operator="greaterThan">
      <formula>M23</formula>
    </cfRule>
  </conditionalFormatting>
  <conditionalFormatting sqref="N24">
    <cfRule type="expression" dxfId="3" priority="154">
      <formula>AND(N24&gt;0,N24&lt;5)</formula>
    </cfRule>
    <cfRule type="cellIs" dxfId="1" priority="155" operator="greaterThan">
      <formula>M24</formula>
    </cfRule>
  </conditionalFormatting>
  <conditionalFormatting sqref="N25">
    <cfRule type="expression" dxfId="3" priority="160">
      <formula>AND(N25&gt;0,N25&lt;5)</formula>
    </cfRule>
    <cfRule type="cellIs" dxfId="1" priority="161" operator="greaterThan">
      <formula>M25</formula>
    </cfRule>
  </conditionalFormatting>
  <conditionalFormatting sqref="O10">
    <cfRule type="cellIs" dxfId="4" priority="139" operator="lessThanOrEqual">
      <formula>F10</formula>
    </cfRule>
  </conditionalFormatting>
  <conditionalFormatting sqref="O15">
    <cfRule type="cellIs" dxfId="4" priority="145" operator="lessThanOrEqual">
      <formula>F15</formula>
    </cfRule>
  </conditionalFormatting>
  <conditionalFormatting sqref="O23">
    <cfRule type="cellIs" dxfId="4" priority="151" operator="lessThanOrEqual">
      <formula>F23</formula>
    </cfRule>
  </conditionalFormatting>
  <conditionalFormatting sqref="O24">
    <cfRule type="cellIs" dxfId="4" priority="157" operator="lessThanOrEqual">
      <formula>F24</formula>
    </cfRule>
  </conditionalFormatting>
  <conditionalFormatting sqref="O25">
    <cfRule type="cellIs" dxfId="4" priority="163" operator="lessThanOrEqual">
      <formula>F25</formula>
    </cfRule>
  </conditionalFormatting>
  <conditionalFormatting sqref="P10">
    <cfRule type="cellIs" dxfId="4" priority="138" operator="lessThanOrEqual">
      <formula>G10</formula>
    </cfRule>
  </conditionalFormatting>
  <conditionalFormatting sqref="P15">
    <cfRule type="cellIs" dxfId="4" priority="144" operator="lessThanOrEqual">
      <formula>G15</formula>
    </cfRule>
  </conditionalFormatting>
  <conditionalFormatting sqref="P23">
    <cfRule type="cellIs" dxfId="4" priority="150" operator="lessThanOrEqual">
      <formula>G23</formula>
    </cfRule>
  </conditionalFormatting>
  <conditionalFormatting sqref="P24">
    <cfRule type="cellIs" dxfId="4" priority="156" operator="lessThanOrEqual">
      <formula>G24</formula>
    </cfRule>
  </conditionalFormatting>
  <conditionalFormatting sqref="P25">
    <cfRule type="cellIs" dxfId="4" priority="162" operator="lessThanOrEqual">
      <formula>G25</formula>
    </cfRule>
  </conditionalFormatting>
  <conditionalFormatting sqref="R10">
    <cfRule type="cellIs" dxfId="1" priority="174" operator="equal">
      <formula>0</formula>
    </cfRule>
    <cfRule type="cellIs" dxfId="2" priority="175" operator="lessThan">
      <formula>E10</formula>
    </cfRule>
  </conditionalFormatting>
  <conditionalFormatting sqref="R15">
    <cfRule type="cellIs" dxfId="1" priority="179" operator="equal">
      <formula>0</formula>
    </cfRule>
    <cfRule type="cellIs" dxfId="2" priority="180" operator="lessThan">
      <formula>E15</formula>
    </cfRule>
  </conditionalFormatting>
  <conditionalFormatting sqref="R16">
    <cfRule type="cellIs" dxfId="1" priority="184" operator="equal">
      <formula>0</formula>
    </cfRule>
    <cfRule type="cellIs" dxfId="2" priority="185" operator="lessThan">
      <formula>E16</formula>
    </cfRule>
  </conditionalFormatting>
  <conditionalFormatting sqref="R23">
    <cfRule type="cellIs" dxfId="1" priority="189" operator="equal">
      <formula>0</formula>
    </cfRule>
    <cfRule type="cellIs" dxfId="2" priority="190" operator="lessThan">
      <formula>E23</formula>
    </cfRule>
  </conditionalFormatting>
  <conditionalFormatting sqref="R24">
    <cfRule type="cellIs" dxfId="1" priority="194" operator="equal">
      <formula>0</formula>
    </cfRule>
    <cfRule type="cellIs" dxfId="2" priority="195" operator="lessThan">
      <formula>E24</formula>
    </cfRule>
  </conditionalFormatting>
  <conditionalFormatting sqref="R25">
    <cfRule type="cellIs" dxfId="1" priority="199" operator="equal">
      <formula>0</formula>
    </cfRule>
    <cfRule type="cellIs" dxfId="2" priority="200" operator="lessThan">
      <formula>E25</formula>
    </cfRule>
  </conditionalFormatting>
  <conditionalFormatting sqref="R8">
    <cfRule type="cellIs" dxfId="1" priority="164" operator="equal">
      <formula>0</formula>
    </cfRule>
    <cfRule type="cellIs" dxfId="2" priority="165" operator="lessThan">
      <formula>E8</formula>
    </cfRule>
  </conditionalFormatting>
  <conditionalFormatting sqref="R9">
    <cfRule type="cellIs" dxfId="1" priority="169" operator="equal">
      <formula>0</formula>
    </cfRule>
    <cfRule type="cellIs" dxfId="2" priority="170" operator="lessThan">
      <formula>E9</formula>
    </cfRule>
  </conditionalFormatting>
  <conditionalFormatting sqref="S10">
    <cfRule type="cellIs" dxfId="1" priority="176" operator="greaterThan">
      <formula>R10</formula>
    </cfRule>
  </conditionalFormatting>
  <conditionalFormatting sqref="S15">
    <cfRule type="cellIs" dxfId="1" priority="181" operator="greaterThan">
      <formula>R15</formula>
    </cfRule>
  </conditionalFormatting>
  <conditionalFormatting sqref="S16">
    <cfRule type="cellIs" dxfId="1" priority="186" operator="greaterThan">
      <formula>R16</formula>
    </cfRule>
  </conditionalFormatting>
  <conditionalFormatting sqref="S23">
    <cfRule type="cellIs" dxfId="1" priority="191" operator="greaterThan">
      <formula>R23</formula>
    </cfRule>
  </conditionalFormatting>
  <conditionalFormatting sqref="S24">
    <cfRule type="cellIs" dxfId="1" priority="196" operator="greaterThan">
      <formula>R24</formula>
    </cfRule>
  </conditionalFormatting>
  <conditionalFormatting sqref="S25">
    <cfRule type="cellIs" dxfId="1" priority="201" operator="greaterThan">
      <formula>R25</formula>
    </cfRule>
  </conditionalFormatting>
  <conditionalFormatting sqref="S8">
    <cfRule type="cellIs" dxfId="1" priority="166" operator="greaterThan">
      <formula>R8</formula>
    </cfRule>
  </conditionalFormatting>
  <conditionalFormatting sqref="S9">
    <cfRule type="cellIs" dxfId="1" priority="171" operator="greaterThan">
      <formula>R9</formula>
    </cfRule>
  </conditionalFormatting>
  <conditionalFormatting sqref="T10">
    <cfRule type="cellIs" dxfId="4" priority="178" operator="lessThanOrEqual">
      <formula>F10</formula>
    </cfRule>
  </conditionalFormatting>
  <conditionalFormatting sqref="T15">
    <cfRule type="cellIs" dxfId="4" priority="183" operator="lessThanOrEqual">
      <formula>F15</formula>
    </cfRule>
  </conditionalFormatting>
  <conditionalFormatting sqref="T16">
    <cfRule type="cellIs" dxfId="4" priority="188" operator="lessThanOrEqual">
      <formula>F16</formula>
    </cfRule>
  </conditionalFormatting>
  <conditionalFormatting sqref="T23">
    <cfRule type="cellIs" dxfId="4" priority="193" operator="lessThanOrEqual">
      <formula>F23</formula>
    </cfRule>
  </conditionalFormatting>
  <conditionalFormatting sqref="T24">
    <cfRule type="cellIs" dxfId="4" priority="198" operator="lessThanOrEqual">
      <formula>F24</formula>
    </cfRule>
  </conditionalFormatting>
  <conditionalFormatting sqref="T25">
    <cfRule type="cellIs" dxfId="4" priority="203" operator="lessThanOrEqual">
      <formula>F25</formula>
    </cfRule>
  </conditionalFormatting>
  <conditionalFormatting sqref="T8">
    <cfRule type="cellIs" dxfId="4" priority="168" operator="lessThanOrEqual">
      <formula>F8</formula>
    </cfRule>
  </conditionalFormatting>
  <conditionalFormatting sqref="T9">
    <cfRule type="cellIs" dxfId="4" priority="173" operator="lessThanOrEqual">
      <formula>F9</formula>
    </cfRule>
  </conditionalFormatting>
  <conditionalFormatting sqref="U10">
    <cfRule type="cellIs" dxfId="4" priority="177" operator="lessThanOrEqual">
      <formula>G10</formula>
    </cfRule>
  </conditionalFormatting>
  <conditionalFormatting sqref="U15">
    <cfRule type="cellIs" dxfId="4" priority="182" operator="lessThanOrEqual">
      <formula>G15</formula>
    </cfRule>
  </conditionalFormatting>
  <conditionalFormatting sqref="U16">
    <cfRule type="cellIs" dxfId="4" priority="187" operator="lessThanOrEqual">
      <formula>G16</formula>
    </cfRule>
  </conditionalFormatting>
  <conditionalFormatting sqref="U23">
    <cfRule type="cellIs" dxfId="4" priority="192" operator="lessThanOrEqual">
      <formula>G23</formula>
    </cfRule>
  </conditionalFormatting>
  <conditionalFormatting sqref="U24">
    <cfRule type="cellIs" dxfId="4" priority="197" operator="lessThanOrEqual">
      <formula>G24</formula>
    </cfRule>
  </conditionalFormatting>
  <conditionalFormatting sqref="U25">
    <cfRule type="cellIs" dxfId="4" priority="202" operator="lessThanOrEqual">
      <formula>G25</formula>
    </cfRule>
  </conditionalFormatting>
  <conditionalFormatting sqref="U8">
    <cfRule type="cellIs" dxfId="4" priority="167" operator="lessThanOrEqual">
      <formula>G8</formula>
    </cfRule>
  </conditionalFormatting>
  <conditionalFormatting sqref="U9">
    <cfRule type="cellIs" dxfId="4" priority="172" operator="lessThanOrEqual">
      <formula>G9</formula>
    </cfRule>
  </conditionalFormatting>
  <conditionalFormatting sqref="W10">
    <cfRule type="cellIs" dxfId="1" priority="215" operator="equal">
      <formula>0</formula>
    </cfRule>
    <cfRule type="cellIs" dxfId="2" priority="216" operator="lessThan">
      <formula>E10</formula>
    </cfRule>
  </conditionalFormatting>
  <conditionalFormatting sqref="W15">
    <cfRule type="cellIs" dxfId="1" priority="220" operator="equal">
      <formula>0</formula>
    </cfRule>
    <cfRule type="cellIs" dxfId="2" priority="221" operator="lessThan">
      <formula>E15</formula>
    </cfRule>
  </conditionalFormatting>
  <conditionalFormatting sqref="W23">
    <cfRule type="cellIs" dxfId="1" priority="225" operator="equal">
      <formula>0</formula>
    </cfRule>
    <cfRule type="cellIs" dxfId="2" priority="226" operator="lessThan">
      <formula>E23</formula>
    </cfRule>
  </conditionalFormatting>
  <conditionalFormatting sqref="W24">
    <cfRule type="cellIs" dxfId="1" priority="230" operator="equal">
      <formula>0</formula>
    </cfRule>
    <cfRule type="cellIs" dxfId="2" priority="231" operator="lessThan">
      <formula>E24</formula>
    </cfRule>
  </conditionalFormatting>
  <conditionalFormatting sqref="W25">
    <cfRule type="cellIs" dxfId="1" priority="235" operator="equal">
      <formula>0</formula>
    </cfRule>
    <cfRule type="cellIs" dxfId="2" priority="236" operator="lessThan">
      <formula>E25</formula>
    </cfRule>
  </conditionalFormatting>
  <conditionalFormatting sqref="W8">
    <cfRule type="cellIs" dxfId="1" priority="204" operator="equal">
      <formula>0</formula>
    </cfRule>
    <cfRule type="cellIs" dxfId="2" priority="205" operator="lessThan">
      <formula>E8</formula>
    </cfRule>
  </conditionalFormatting>
  <conditionalFormatting sqref="W9">
    <cfRule type="cellIs" dxfId="1" priority="210" operator="equal">
      <formula>0</formula>
    </cfRule>
    <cfRule type="cellIs" dxfId="2" priority="211" operator="lessThan">
      <formula>E9</formula>
    </cfRule>
  </conditionalFormatting>
  <conditionalFormatting sqref="X10">
    <cfRule type="cellIs" dxfId="1" priority="217" operator="greaterThan">
      <formula>W10</formula>
    </cfRule>
  </conditionalFormatting>
  <conditionalFormatting sqref="X15">
    <cfRule type="cellIs" dxfId="1" priority="222" operator="greaterThan">
      <formula>W15</formula>
    </cfRule>
  </conditionalFormatting>
  <conditionalFormatting sqref="X23">
    <cfRule type="cellIs" dxfId="1" priority="227" operator="greaterThan">
      <formula>W23</formula>
    </cfRule>
  </conditionalFormatting>
  <conditionalFormatting sqref="X24">
    <cfRule type="cellIs" dxfId="1" priority="232" operator="greaterThan">
      <formula>W24</formula>
    </cfRule>
  </conditionalFormatting>
  <conditionalFormatting sqref="X25">
    <cfRule type="cellIs" dxfId="1" priority="237" operator="greaterThan">
      <formula>W25</formula>
    </cfRule>
  </conditionalFormatting>
  <conditionalFormatting sqref="X8">
    <cfRule type="expression" dxfId="3" priority="206">
      <formula>AND(X8&gt;0,X8&lt;1000)</formula>
    </cfRule>
    <cfRule type="cellIs" dxfId="1" priority="207" operator="greaterThan">
      <formula>W8</formula>
    </cfRule>
  </conditionalFormatting>
  <conditionalFormatting sqref="X9">
    <cfRule type="cellIs" dxfId="1" priority="212" operator="greaterThan">
      <formula>W9</formula>
    </cfRule>
  </conditionalFormatting>
  <conditionalFormatting sqref="Y10">
    <cfRule type="cellIs" dxfId="4" priority="219" operator="lessThanOrEqual">
      <formula>F10</formula>
    </cfRule>
  </conditionalFormatting>
  <conditionalFormatting sqref="Y15">
    <cfRule type="cellIs" dxfId="4" priority="224" operator="lessThanOrEqual">
      <formula>F15</formula>
    </cfRule>
  </conditionalFormatting>
  <conditionalFormatting sqref="Y23">
    <cfRule type="cellIs" dxfId="4" priority="229" operator="lessThanOrEqual">
      <formula>F23</formula>
    </cfRule>
  </conditionalFormatting>
  <conditionalFormatting sqref="Y24">
    <cfRule type="cellIs" dxfId="4" priority="234" operator="lessThanOrEqual">
      <formula>F24</formula>
    </cfRule>
  </conditionalFormatting>
  <conditionalFormatting sqref="Y25">
    <cfRule type="cellIs" dxfId="4" priority="239" operator="lessThanOrEqual">
      <formula>F25</formula>
    </cfRule>
  </conditionalFormatting>
  <conditionalFormatting sqref="Y8">
    <cfRule type="cellIs" dxfId="4" priority="209" operator="lessThanOrEqual">
      <formula>F8</formula>
    </cfRule>
  </conditionalFormatting>
  <conditionalFormatting sqref="Y9">
    <cfRule type="cellIs" dxfId="4" priority="214" operator="lessThanOrEqual">
      <formula>F9</formula>
    </cfRule>
  </conditionalFormatting>
  <conditionalFormatting sqref="Z10">
    <cfRule type="cellIs" dxfId="4" priority="218" operator="lessThanOrEqual">
      <formula>G10</formula>
    </cfRule>
  </conditionalFormatting>
  <conditionalFormatting sqref="Z15">
    <cfRule type="cellIs" dxfId="4" priority="223" operator="lessThanOrEqual">
      <formula>G15</formula>
    </cfRule>
  </conditionalFormatting>
  <conditionalFormatting sqref="Z23">
    <cfRule type="cellIs" dxfId="4" priority="228" operator="lessThanOrEqual">
      <formula>G23</formula>
    </cfRule>
  </conditionalFormatting>
  <conditionalFormatting sqref="Z24">
    <cfRule type="cellIs" dxfId="4" priority="233" operator="lessThanOrEqual">
      <formula>G24</formula>
    </cfRule>
  </conditionalFormatting>
  <conditionalFormatting sqref="Z25">
    <cfRule type="cellIs" dxfId="4" priority="238" operator="lessThanOrEqual">
      <formula>G25</formula>
    </cfRule>
  </conditionalFormatting>
  <conditionalFormatting sqref="Z8">
    <cfRule type="cellIs" dxfId="4" priority="208" operator="lessThanOrEqual">
      <formula>G8</formula>
    </cfRule>
  </conditionalFormatting>
  <conditionalFormatting sqref="Z9">
    <cfRule type="cellIs" dxfId="4" priority="213" operator="lessThanOrEqual">
      <formula>G9</formula>
    </cfRule>
  </conditionalFormatting>
  <hyperlinks>
    <hyperlink ref="L8" r:id="rId1"/>
    <hyperlink ref="V8" r:id="rId2"/>
    <hyperlink ref="AA8" r:id="rId3"/>
    <hyperlink ref="AF8" r:id="rId4"/>
    <hyperlink ref="L9" r:id="rId5"/>
    <hyperlink ref="V9" r:id="rId6"/>
    <hyperlink ref="AA9" r:id="rId7"/>
    <hyperlink ref="AF9" r:id="rId8"/>
    <hyperlink ref="L10" r:id="rId9"/>
    <hyperlink ref="Q10" r:id="rId10"/>
    <hyperlink ref="V10" r:id="rId11"/>
    <hyperlink ref="AA10" r:id="rId12"/>
    <hyperlink ref="AF10" r:id="rId13"/>
    <hyperlink ref="L14" r:id="rId14"/>
    <hyperlink ref="L15" r:id="rId15"/>
    <hyperlink ref="Q15" r:id="rId16"/>
    <hyperlink ref="V15" r:id="rId17"/>
    <hyperlink ref="AA15" r:id="rId18"/>
    <hyperlink ref="AF15" r:id="rId19"/>
    <hyperlink ref="L16" r:id="rId20"/>
    <hyperlink ref="V16" r:id="rId21"/>
    <hyperlink ref="D23" r:id="rId22"/>
    <hyperlink ref="L23" r:id="rId23"/>
    <hyperlink ref="Q23" r:id="rId24"/>
    <hyperlink ref="V23" r:id="rId25"/>
    <hyperlink ref="AA23" r:id="rId26"/>
    <hyperlink ref="AF23" r:id="rId27"/>
    <hyperlink ref="D24" r:id="rId28"/>
    <hyperlink ref="L24" r:id="rId29"/>
    <hyperlink ref="Q24" r:id="rId30"/>
    <hyperlink ref="V24" r:id="rId31"/>
    <hyperlink ref="AA24" r:id="rId32"/>
    <hyperlink ref="AF24" r:id="rId33"/>
    <hyperlink ref="D25" r:id="rId34"/>
    <hyperlink ref="L25" r:id="rId35"/>
    <hyperlink ref="Q25" r:id="rId36"/>
    <hyperlink ref="V25" r:id="rId37"/>
    <hyperlink ref="AA25" r:id="rId38"/>
    <hyperlink ref="AF25" r:id="rId39"/>
    <hyperlink ref="D26" r:id="rId40"/>
  </hyperlinks>
  <pageMargins left="0.7" right="0.7" top="0.75" bottom="0.75" header="0.3" footer="0.3"/>
  <legacyDrawing r:id="rId4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USBAudio</vt:lpstr>
      <vt:lpstr>BoardQty</vt:lpstr>
      <vt:lpstr>digikey_part_data</vt:lpstr>
      <vt:lpstr>EUR_GBP</vt:lpstr>
      <vt:lpstr>EUR_USD</vt:lpstr>
      <vt:lpstr>farnell_part_data</vt:lpstr>
      <vt:lpstr>global_part_data</vt:lpstr>
      <vt:lpstr>mouser_part_data</vt:lpstr>
      <vt:lpstr>newark_part_data</vt:lpstr>
      <vt:lpstr>PURCHASE_DESCRIPTION</vt:lpstr>
      <vt:lpstr>rs_part_data</vt:lpstr>
      <vt:lpstr>TotalCost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2019-09-26T20:33:00Z</dcterms:created>
  <dcterms:modified xsi:type="dcterms:W3CDTF">2019-09-26T20:33:00Z</dcterms:modified>
</cp:coreProperties>
</file>